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style8.xml" ContentType="application/vnd.ms-office.chartsty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style6.xml" ContentType="application/vnd.ms-office.chartstyle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olors9.xml" ContentType="application/vnd.ms-office.chartcolorstyle+xml"/>
  <Override PartName="/xl/charts/style2.xml" ContentType="application/vnd.ms-office.chartstyle+xml"/>
  <Override PartName="/xl/charts/style14.xml" ContentType="application/vnd.ms-office.chartstyle+xml"/>
  <Override PartName="/xl/charts/colors13.xml" ContentType="application/vnd.ms-office.chartcolorsty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charts/colors12.xml" ContentType="application/vnd.ms-office.chartcolorstyle+xml"/>
  <Override PartName="/xl/charts/style12.xml" ContentType="application/vnd.ms-office.chartstyle+xml"/>
  <Override PartName="/xl/charts/style13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charts/style11.xml" ContentType="application/vnd.ms-office.chartstyle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style9.xml" ContentType="application/vnd.ms-office.chartsty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style5.xml" ContentType="application/vnd.ms-office.chart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1840" windowHeight="12435" tabRatio="632" activeTab="4"/>
  </bookViews>
  <sheets>
    <sheet name="Input Data" sheetId="6" r:id="rId1"/>
    <sheet name="Lists" sheetId="15" r:id="rId2"/>
    <sheet name="Irradiance (IP)" sheetId="4" state="hidden" r:id="rId3"/>
    <sheet name="Irradiance (SI)" sheetId="13" state="hidden" r:id="rId4"/>
    <sheet name="IAM (Numerical)" sheetId="8" r:id="rId5"/>
    <sheet name="IAM (Analytical)" sheetId="9" state="hidden" r:id="rId6"/>
    <sheet name="Diffuse Modifier (Numerical)" sheetId="14" r:id="rId7"/>
    <sheet name="Calculator (SI)" sheetId="5" r:id="rId8"/>
    <sheet name="Certification (Tested)" sheetId="17" r:id="rId9"/>
  </sheets>
  <definedNames>
    <definedName name="Collectortype" comment="Select from available collector types">Lists!$A$21:$A$23</definedName>
    <definedName name="Eff">'Calculator (SI)'!#REF!</definedName>
    <definedName name="TestStandard">Lists!$A$27:$A$31</definedName>
    <definedName name="Teststandards">Lists!#REF!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7"/>
  <c r="G78" l="1"/>
  <c r="B6" i="5" l="1"/>
  <c r="D41" i="17"/>
  <c r="D40"/>
  <c r="D39"/>
  <c r="D38"/>
  <c r="G33"/>
  <c r="G32"/>
  <c r="I32" s="1"/>
  <c r="B33"/>
  <c r="B32"/>
  <c r="D3"/>
  <c r="D2"/>
  <c r="D1"/>
  <c r="E9" i="15"/>
  <c r="B9"/>
  <c r="G73" i="17"/>
  <c r="I73" s="1"/>
  <c r="G72"/>
  <c r="I72" s="1"/>
  <c r="G71"/>
  <c r="I71" s="1"/>
  <c r="G70"/>
  <c r="I70" s="1"/>
  <c r="G67"/>
  <c r="I67" s="1"/>
  <c r="G66"/>
  <c r="I66" s="1"/>
  <c r="G65"/>
  <c r="I65" s="1"/>
  <c r="G61"/>
  <c r="I61" s="1"/>
  <c r="G60"/>
  <c r="I60" s="1"/>
  <c r="G59"/>
  <c r="I59" s="1"/>
  <c r="G58"/>
  <c r="I58" s="1"/>
  <c r="G57"/>
  <c r="I57" s="1"/>
  <c r="C73"/>
  <c r="C72"/>
  <c r="C71"/>
  <c r="C70"/>
  <c r="C68"/>
  <c r="C67"/>
  <c r="C66"/>
  <c r="C65"/>
  <c r="C63"/>
  <c r="C62"/>
  <c r="C61"/>
  <c r="C60"/>
  <c r="C59"/>
  <c r="C58"/>
  <c r="C57"/>
  <c r="G55"/>
  <c r="I55" s="1"/>
  <c r="G54"/>
  <c r="I54" s="1"/>
  <c r="G53"/>
  <c r="I53" s="1"/>
  <c r="G52"/>
  <c r="I52" s="1"/>
  <c r="G51"/>
  <c r="I51" s="1"/>
  <c r="G50"/>
  <c r="I50" s="1"/>
  <c r="G49"/>
  <c r="I49" s="1"/>
  <c r="C55"/>
  <c r="C54"/>
  <c r="C53"/>
  <c r="C52"/>
  <c r="C51"/>
  <c r="C50"/>
  <c r="C49"/>
  <c r="J46"/>
  <c r="I46"/>
  <c r="H46"/>
  <c r="G46"/>
  <c r="F46"/>
  <c r="E46"/>
  <c r="D46"/>
  <c r="D32" l="1"/>
  <c r="G42"/>
  <c r="I42" s="1"/>
  <c r="D33"/>
  <c r="I33"/>
  <c r="D34"/>
  <c r="B40"/>
  <c r="E40" s="1"/>
  <c r="B41"/>
  <c r="E41" s="1"/>
  <c r="B39"/>
  <c r="E39" s="1"/>
  <c r="B38"/>
  <c r="E38" s="1"/>
  <c r="G76"/>
  <c r="C81"/>
  <c r="G77"/>
  <c r="C79"/>
  <c r="C78"/>
  <c r="C77"/>
  <c r="G81"/>
  <c r="I81" s="1"/>
  <c r="G80"/>
  <c r="I80" s="1"/>
  <c r="G79"/>
  <c r="I79" s="1"/>
  <c r="I78"/>
  <c r="C76"/>
  <c r="E11" i="15" l="1"/>
  <c r="B11"/>
  <c r="B10"/>
  <c r="E10"/>
  <c r="I56" i="5" l="1"/>
  <c r="B32" l="1"/>
  <c r="B33"/>
  <c r="B34"/>
  <c r="B35"/>
  <c r="B23"/>
  <c r="B22"/>
  <c r="B21"/>
  <c r="B20"/>
  <c r="B19"/>
  <c r="B18"/>
  <c r="B17"/>
  <c r="B16"/>
  <c r="B15"/>
  <c r="B14"/>
  <c r="B13"/>
  <c r="G4" i="9" l="1"/>
  <c r="H4"/>
  <c r="D4"/>
  <c r="E4"/>
  <c r="C4"/>
  <c r="C73" i="6" l="1"/>
  <c r="C42" i="17" l="1"/>
  <c r="E42" s="1"/>
  <c r="I3" i="14"/>
  <c r="K8" s="1"/>
  <c r="L8" s="1"/>
  <c r="H3"/>
  <c r="J8" s="1"/>
  <c r="J10" s="1"/>
  <c r="G3"/>
  <c r="I8" s="1"/>
  <c r="F3"/>
  <c r="G8" s="1"/>
  <c r="E3"/>
  <c r="F8" s="1"/>
  <c r="F10" s="1"/>
  <c r="D3"/>
  <c r="E8" s="1"/>
  <c r="E10" s="1"/>
  <c r="C3"/>
  <c r="C8" s="1"/>
  <c r="B3"/>
  <c r="B8" s="1"/>
  <c r="B10" s="1"/>
  <c r="B7"/>
  <c r="C7"/>
  <c r="D7"/>
  <c r="E7"/>
  <c r="F7"/>
  <c r="G7"/>
  <c r="H7"/>
  <c r="I7"/>
  <c r="B9"/>
  <c r="C9"/>
  <c r="D9"/>
  <c r="E9"/>
  <c r="F9"/>
  <c r="G9"/>
  <c r="H9"/>
  <c r="I9"/>
  <c r="K9"/>
  <c r="J9"/>
  <c r="M7"/>
  <c r="M9" s="1"/>
  <c r="M10" s="1"/>
  <c r="L7"/>
  <c r="L9" s="1"/>
  <c r="K7"/>
  <c r="J7"/>
  <c r="H8" l="1"/>
  <c r="H10" s="1"/>
  <c r="G10"/>
  <c r="G11" s="1"/>
  <c r="I10"/>
  <c r="C10"/>
  <c r="C11" s="1"/>
  <c r="D8"/>
  <c r="D10" s="1"/>
  <c r="K10"/>
  <c r="K11" s="1"/>
  <c r="F11"/>
  <c r="L10"/>
  <c r="M11" s="1"/>
  <c r="I11" l="1"/>
  <c r="D11"/>
  <c r="J11"/>
  <c r="L11"/>
  <c r="H11"/>
  <c r="E11"/>
  <c r="M12" l="1"/>
  <c r="B13"/>
  <c r="J60" i="5" l="1"/>
  <c r="J52"/>
  <c r="J36"/>
  <c r="J20"/>
  <c r="J58"/>
  <c r="J34"/>
  <c r="J57"/>
  <c r="J41"/>
  <c r="J33"/>
  <c r="J17"/>
  <c r="J40"/>
  <c r="J32"/>
  <c r="J16"/>
  <c r="J55"/>
  <c r="J23"/>
  <c r="J38"/>
  <c r="J22"/>
  <c r="J61"/>
  <c r="J21"/>
  <c r="J59"/>
  <c r="J51"/>
  <c r="J35"/>
  <c r="J19"/>
  <c r="J42"/>
  <c r="J18"/>
  <c r="J56"/>
  <c r="J39"/>
  <c r="J15"/>
  <c r="J54"/>
  <c r="J14"/>
  <c r="J53"/>
  <c r="J37"/>
  <c r="J13"/>
  <c r="E58" i="13" l="1"/>
  <c r="J77" s="1"/>
  <c r="D58"/>
  <c r="I77" s="1"/>
  <c r="C58"/>
  <c r="H77" s="1"/>
  <c r="E57"/>
  <c r="J76" s="1"/>
  <c r="D57"/>
  <c r="I76" s="1"/>
  <c r="C57"/>
  <c r="H76" s="1"/>
  <c r="E56"/>
  <c r="J75" s="1"/>
  <c r="D56"/>
  <c r="I75" s="1"/>
  <c r="C56"/>
  <c r="H75" s="1"/>
  <c r="E55"/>
  <c r="J74" s="1"/>
  <c r="D55"/>
  <c r="I74" s="1"/>
  <c r="C55"/>
  <c r="H74" s="1"/>
  <c r="E54"/>
  <c r="J73" s="1"/>
  <c r="D54"/>
  <c r="I73" s="1"/>
  <c r="C54"/>
  <c r="H73" s="1"/>
  <c r="E53"/>
  <c r="J72" s="1"/>
  <c r="D53"/>
  <c r="I72" s="1"/>
  <c r="C53"/>
  <c r="H72" s="1"/>
  <c r="E52"/>
  <c r="J71" s="1"/>
  <c r="D52"/>
  <c r="I71" s="1"/>
  <c r="C52"/>
  <c r="H71" s="1"/>
  <c r="E51"/>
  <c r="J70" s="1"/>
  <c r="D51"/>
  <c r="I70" s="1"/>
  <c r="C51"/>
  <c r="H70" s="1"/>
  <c r="E50"/>
  <c r="J69" s="1"/>
  <c r="D50"/>
  <c r="I69" s="1"/>
  <c r="C50"/>
  <c r="H69" s="1"/>
  <c r="E49"/>
  <c r="J68" s="1"/>
  <c r="D49"/>
  <c r="I68" s="1"/>
  <c r="C49"/>
  <c r="E48"/>
  <c r="D48"/>
  <c r="D60" s="1"/>
  <c r="C48"/>
  <c r="H67" s="1"/>
  <c r="E38"/>
  <c r="G77" s="1"/>
  <c r="D38"/>
  <c r="F77" s="1"/>
  <c r="C38"/>
  <c r="E77" s="1"/>
  <c r="E37"/>
  <c r="G76" s="1"/>
  <c r="D37"/>
  <c r="F76" s="1"/>
  <c r="C37"/>
  <c r="E76" s="1"/>
  <c r="E36"/>
  <c r="G75" s="1"/>
  <c r="D36"/>
  <c r="F75" s="1"/>
  <c r="C36"/>
  <c r="E75" s="1"/>
  <c r="E35"/>
  <c r="G74" s="1"/>
  <c r="D35"/>
  <c r="F74" s="1"/>
  <c r="C35"/>
  <c r="E74" s="1"/>
  <c r="E34"/>
  <c r="G73" s="1"/>
  <c r="D34"/>
  <c r="F73" s="1"/>
  <c r="C34"/>
  <c r="E73" s="1"/>
  <c r="E33"/>
  <c r="G72" s="1"/>
  <c r="D33"/>
  <c r="F72" s="1"/>
  <c r="C33"/>
  <c r="E72" s="1"/>
  <c r="E32"/>
  <c r="G71" s="1"/>
  <c r="D32"/>
  <c r="F71" s="1"/>
  <c r="C32"/>
  <c r="E71" s="1"/>
  <c r="E31"/>
  <c r="G70" s="1"/>
  <c r="D31"/>
  <c r="F70" s="1"/>
  <c r="C31"/>
  <c r="E70" s="1"/>
  <c r="E30"/>
  <c r="G69" s="1"/>
  <c r="D30"/>
  <c r="F69" s="1"/>
  <c r="C30"/>
  <c r="E69" s="1"/>
  <c r="E29"/>
  <c r="G68" s="1"/>
  <c r="D29"/>
  <c r="F68" s="1"/>
  <c r="C29"/>
  <c r="E68" s="1"/>
  <c r="E28"/>
  <c r="E40" s="1"/>
  <c r="D28"/>
  <c r="C28"/>
  <c r="E67" s="1"/>
  <c r="E18"/>
  <c r="D77" s="1"/>
  <c r="D18"/>
  <c r="C77" s="1"/>
  <c r="C18"/>
  <c r="B77" s="1"/>
  <c r="E17"/>
  <c r="D76" s="1"/>
  <c r="D17"/>
  <c r="C76" s="1"/>
  <c r="C17"/>
  <c r="B76" s="1"/>
  <c r="E16"/>
  <c r="D75" s="1"/>
  <c r="D16"/>
  <c r="C75" s="1"/>
  <c r="C16"/>
  <c r="B75" s="1"/>
  <c r="E15"/>
  <c r="D74" s="1"/>
  <c r="D15"/>
  <c r="C74" s="1"/>
  <c r="C15"/>
  <c r="B74" s="1"/>
  <c r="E14"/>
  <c r="D73" s="1"/>
  <c r="D14"/>
  <c r="C73" s="1"/>
  <c r="C14"/>
  <c r="B73" s="1"/>
  <c r="E13"/>
  <c r="D72" s="1"/>
  <c r="D13"/>
  <c r="C72" s="1"/>
  <c r="C13"/>
  <c r="B72" s="1"/>
  <c r="E12"/>
  <c r="D71" s="1"/>
  <c r="D12"/>
  <c r="C71" s="1"/>
  <c r="C12"/>
  <c r="B71" s="1"/>
  <c r="E11"/>
  <c r="D11"/>
  <c r="C70" s="1"/>
  <c r="C11"/>
  <c r="B70" s="1"/>
  <c r="E10"/>
  <c r="D69" s="1"/>
  <c r="D10"/>
  <c r="C69" s="1"/>
  <c r="C10"/>
  <c r="B69" s="1"/>
  <c r="E9"/>
  <c r="D68" s="1"/>
  <c r="D9"/>
  <c r="C68" s="1"/>
  <c r="C9"/>
  <c r="E8"/>
  <c r="D67" s="1"/>
  <c r="D8"/>
  <c r="C67" s="1"/>
  <c r="C8"/>
  <c r="B67" s="1"/>
  <c r="G59"/>
  <c r="B59"/>
  <c r="F59" s="1"/>
  <c r="B58"/>
  <c r="G58" s="1"/>
  <c r="B57"/>
  <c r="G57" s="1"/>
  <c r="G56"/>
  <c r="F56"/>
  <c r="B56"/>
  <c r="G55"/>
  <c r="F55"/>
  <c r="B55"/>
  <c r="B54"/>
  <c r="F54" s="1"/>
  <c r="B53"/>
  <c r="G53" s="1"/>
  <c r="G52"/>
  <c r="F52"/>
  <c r="B52"/>
  <c r="G51"/>
  <c r="F51"/>
  <c r="B51"/>
  <c r="B50"/>
  <c r="G50" s="1"/>
  <c r="B49"/>
  <c r="G49" s="1"/>
  <c r="G48"/>
  <c r="F48"/>
  <c r="B48"/>
  <c r="B47"/>
  <c r="G47" s="1"/>
  <c r="B39"/>
  <c r="F39" s="1"/>
  <c r="G38"/>
  <c r="F38"/>
  <c r="B38"/>
  <c r="G37"/>
  <c r="F37"/>
  <c r="B37"/>
  <c r="B36"/>
  <c r="G36" s="1"/>
  <c r="G35"/>
  <c r="B35"/>
  <c r="F35" s="1"/>
  <c r="G34"/>
  <c r="F34"/>
  <c r="B34"/>
  <c r="G33"/>
  <c r="F33"/>
  <c r="B33"/>
  <c r="B32"/>
  <c r="G32" s="1"/>
  <c r="G31"/>
  <c r="B31"/>
  <c r="F31" s="1"/>
  <c r="G30"/>
  <c r="F30"/>
  <c r="B30"/>
  <c r="G29"/>
  <c r="F29"/>
  <c r="B29"/>
  <c r="B28"/>
  <c r="G28" s="1"/>
  <c r="G27"/>
  <c r="F27"/>
  <c r="B27"/>
  <c r="B19"/>
  <c r="G19" s="1"/>
  <c r="B18"/>
  <c r="G18" s="1"/>
  <c r="G17"/>
  <c r="F17"/>
  <c r="B17"/>
  <c r="G16"/>
  <c r="F16"/>
  <c r="B16"/>
  <c r="B15"/>
  <c r="G15" s="1"/>
  <c r="B14"/>
  <c r="G14" s="1"/>
  <c r="G13"/>
  <c r="F13"/>
  <c r="B13"/>
  <c r="G12"/>
  <c r="F12"/>
  <c r="B12"/>
  <c r="B11"/>
  <c r="F11" s="1"/>
  <c r="B10"/>
  <c r="G10" s="1"/>
  <c r="G9"/>
  <c r="F9"/>
  <c r="B9"/>
  <c r="G8"/>
  <c r="F8"/>
  <c r="B8"/>
  <c r="B7"/>
  <c r="G7" s="1"/>
  <c r="J78" i="4"/>
  <c r="I78"/>
  <c r="H78"/>
  <c r="G78"/>
  <c r="F78"/>
  <c r="E78"/>
  <c r="D78"/>
  <c r="C78"/>
  <c r="B78"/>
  <c r="G60"/>
  <c r="F60"/>
  <c r="E60"/>
  <c r="I59"/>
  <c r="H59"/>
  <c r="B59"/>
  <c r="C59" s="1"/>
  <c r="B58"/>
  <c r="I58" s="1"/>
  <c r="B57"/>
  <c r="I57" s="1"/>
  <c r="I56"/>
  <c r="H56"/>
  <c r="B56"/>
  <c r="C56" s="1"/>
  <c r="B55"/>
  <c r="H55" s="1"/>
  <c r="I54"/>
  <c r="B54"/>
  <c r="H54" s="1"/>
  <c r="I53"/>
  <c r="H53"/>
  <c r="C53"/>
  <c r="B53"/>
  <c r="B52"/>
  <c r="C52" s="1"/>
  <c r="I51"/>
  <c r="H51"/>
  <c r="B51"/>
  <c r="C51" s="1"/>
  <c r="B50"/>
  <c r="I50" s="1"/>
  <c r="B49"/>
  <c r="I49" s="1"/>
  <c r="I48"/>
  <c r="H48"/>
  <c r="B48"/>
  <c r="C48" s="1"/>
  <c r="B47"/>
  <c r="H47" s="1"/>
  <c r="G40"/>
  <c r="F40"/>
  <c r="E40"/>
  <c r="I39"/>
  <c r="H39"/>
  <c r="C39"/>
  <c r="B39"/>
  <c r="B38"/>
  <c r="I38" s="1"/>
  <c r="I37"/>
  <c r="H37"/>
  <c r="B37"/>
  <c r="C37" s="1"/>
  <c r="B36"/>
  <c r="I36" s="1"/>
  <c r="B35"/>
  <c r="I35" s="1"/>
  <c r="I34"/>
  <c r="H34"/>
  <c r="C34"/>
  <c r="B34"/>
  <c r="B33"/>
  <c r="C33" s="1"/>
  <c r="I32"/>
  <c r="B32"/>
  <c r="H32" s="1"/>
  <c r="I31"/>
  <c r="H31"/>
  <c r="C31"/>
  <c r="B31"/>
  <c r="B30"/>
  <c r="C30" s="1"/>
  <c r="I29"/>
  <c r="H29"/>
  <c r="B29"/>
  <c r="C29" s="1"/>
  <c r="B28"/>
  <c r="C28" s="1"/>
  <c r="B27"/>
  <c r="I27" s="1"/>
  <c r="G20"/>
  <c r="F20"/>
  <c r="E20"/>
  <c r="B19"/>
  <c r="C19" s="1"/>
  <c r="I18"/>
  <c r="B18"/>
  <c r="H18" s="1"/>
  <c r="I17"/>
  <c r="H17"/>
  <c r="C17"/>
  <c r="B17"/>
  <c r="B16"/>
  <c r="C16" s="1"/>
  <c r="I15"/>
  <c r="H15"/>
  <c r="B15"/>
  <c r="C15" s="1"/>
  <c r="B14"/>
  <c r="I14" s="1"/>
  <c r="B13"/>
  <c r="I13" s="1"/>
  <c r="I12"/>
  <c r="H12"/>
  <c r="C12"/>
  <c r="B12"/>
  <c r="B11"/>
  <c r="H11" s="1"/>
  <c r="I10"/>
  <c r="B10"/>
  <c r="H10" s="1"/>
  <c r="I9"/>
  <c r="H9"/>
  <c r="C9"/>
  <c r="B9"/>
  <c r="B8"/>
  <c r="C8" s="1"/>
  <c r="I7"/>
  <c r="H7"/>
  <c r="B7"/>
  <c r="C7" s="1"/>
  <c r="D40" i="13" l="1"/>
  <c r="E60"/>
  <c r="C78"/>
  <c r="E78"/>
  <c r="C20"/>
  <c r="E20"/>
  <c r="C60"/>
  <c r="F67"/>
  <c r="F78" s="1"/>
  <c r="J67"/>
  <c r="J78" s="1"/>
  <c r="D20"/>
  <c r="C40"/>
  <c r="G67"/>
  <c r="G78" s="1"/>
  <c r="I67"/>
  <c r="I78" s="1"/>
  <c r="B68"/>
  <c r="B78" s="1"/>
  <c r="H68"/>
  <c r="H78" s="1"/>
  <c r="D70"/>
  <c r="D78" s="1"/>
  <c r="F19"/>
  <c r="F47"/>
  <c r="F7"/>
  <c r="F15"/>
  <c r="F50"/>
  <c r="F58"/>
  <c r="G11"/>
  <c r="F28"/>
  <c r="F32"/>
  <c r="F36"/>
  <c r="G39"/>
  <c r="G54"/>
  <c r="F10"/>
  <c r="F14"/>
  <c r="F18"/>
  <c r="F49"/>
  <c r="F53"/>
  <c r="F57"/>
  <c r="C14" i="4"/>
  <c r="C36"/>
  <c r="C50"/>
  <c r="C58"/>
  <c r="C11"/>
  <c r="H28"/>
  <c r="H36"/>
  <c r="H58"/>
  <c r="H19"/>
  <c r="H33"/>
  <c r="C49"/>
  <c r="H8"/>
  <c r="C10"/>
  <c r="I11"/>
  <c r="H16"/>
  <c r="C18"/>
  <c r="I19"/>
  <c r="H30"/>
  <c r="C32"/>
  <c r="I33"/>
  <c r="H38"/>
  <c r="I47"/>
  <c r="H52"/>
  <c r="C54"/>
  <c r="I55"/>
  <c r="C55"/>
  <c r="H14"/>
  <c r="C38"/>
  <c r="H50"/>
  <c r="C13"/>
  <c r="I28"/>
  <c r="C35"/>
  <c r="C57"/>
  <c r="I8"/>
  <c r="H13"/>
  <c r="I16"/>
  <c r="H27"/>
  <c r="I30"/>
  <c r="H35"/>
  <c r="H49"/>
  <c r="I52"/>
  <c r="H57"/>
  <c r="C47"/>
  <c r="C27"/>
  <c r="C60" l="1"/>
  <c r="D32"/>
  <c r="D35"/>
  <c r="C20"/>
  <c r="D49"/>
  <c r="D57"/>
  <c r="D50"/>
  <c r="D55"/>
  <c r="D54"/>
  <c r="C40"/>
  <c r="D27"/>
  <c r="D38"/>
  <c r="D58"/>
  <c r="D12" l="1"/>
  <c r="D9"/>
  <c r="D8"/>
  <c r="D7"/>
  <c r="D15"/>
  <c r="D17"/>
  <c r="D19"/>
  <c r="D16"/>
  <c r="D14"/>
  <c r="D18"/>
  <c r="D13"/>
  <c r="D11"/>
  <c r="D10"/>
  <c r="D48"/>
  <c r="D56"/>
  <c r="D51"/>
  <c r="D53"/>
  <c r="D52"/>
  <c r="D59"/>
  <c r="D34"/>
  <c r="D37"/>
  <c r="D28"/>
  <c r="D40" s="1"/>
  <c r="D33"/>
  <c r="D31"/>
  <c r="D39"/>
  <c r="D29"/>
  <c r="D30"/>
  <c r="D36"/>
  <c r="D47"/>
  <c r="D60" l="1"/>
  <c r="D20"/>
  <c r="B36" i="5" l="1"/>
  <c r="B37"/>
  <c r="B38"/>
  <c r="B39"/>
  <c r="B40"/>
  <c r="B41"/>
  <c r="B42"/>
  <c r="B4" l="1"/>
  <c r="B3"/>
  <c r="B2"/>
  <c r="G2" l="1"/>
  <c r="I37"/>
  <c r="G32" i="9" l="1"/>
  <c r="L32"/>
  <c r="K32"/>
  <c r="J32"/>
  <c r="I32"/>
  <c r="H32"/>
  <c r="F32"/>
  <c r="E32"/>
  <c r="D32"/>
  <c r="C32"/>
  <c r="B32"/>
  <c r="I3" l="1"/>
  <c r="I6" s="1"/>
  <c r="H3"/>
  <c r="H6" s="1"/>
  <c r="G3"/>
  <c r="G6" s="1"/>
  <c r="F3"/>
  <c r="F6" s="1"/>
  <c r="E3"/>
  <c r="E6" s="1"/>
  <c r="D3"/>
  <c r="D6" s="1"/>
  <c r="C3"/>
  <c r="C6" s="1"/>
  <c r="B3"/>
  <c r="B6" s="1"/>
  <c r="I4"/>
  <c r="F4"/>
  <c r="B4"/>
  <c r="B5" s="1"/>
  <c r="F5" l="1"/>
  <c r="G33"/>
  <c r="C5"/>
  <c r="C33"/>
  <c r="G5"/>
  <c r="I33"/>
  <c r="E5"/>
  <c r="F33"/>
  <c r="H5"/>
  <c r="J33"/>
  <c r="D5"/>
  <c r="E33"/>
  <c r="I5"/>
  <c r="K33"/>
  <c r="B27" l="1"/>
  <c r="I3" i="8"/>
  <c r="K26" s="1"/>
  <c r="H3"/>
  <c r="J26" s="1"/>
  <c r="I14" i="5" s="1"/>
  <c r="G3" i="8"/>
  <c r="I26" s="1"/>
  <c r="F3"/>
  <c r="G26" s="1"/>
  <c r="E3"/>
  <c r="F26" s="1"/>
  <c r="I16" i="5" s="1"/>
  <c r="D3" i="8"/>
  <c r="E26" s="1"/>
  <c r="C3"/>
  <c r="C26" s="1"/>
  <c r="B3"/>
  <c r="I54" i="5" l="1"/>
  <c r="I20"/>
  <c r="I58" s="1"/>
  <c r="I22"/>
  <c r="I60" s="1"/>
  <c r="I52"/>
  <c r="D29" i="9"/>
  <c r="A29"/>
  <c r="I35" i="5"/>
  <c r="D26" i="8"/>
  <c r="I17" i="5" s="1"/>
  <c r="H26" i="8"/>
  <c r="I15" i="5" s="1"/>
  <c r="L26" i="8"/>
  <c r="I13" i="5" s="1"/>
  <c r="H33" i="9"/>
  <c r="D33"/>
  <c r="L33"/>
  <c r="I19" i="5" l="1"/>
  <c r="I57" s="1"/>
  <c r="I55"/>
  <c r="I41"/>
  <c r="K41" s="1"/>
  <c r="I23"/>
  <c r="I61" s="1"/>
  <c r="I51"/>
  <c r="I21"/>
  <c r="I59" s="1"/>
  <c r="I53"/>
  <c r="I33"/>
  <c r="K33" s="1"/>
  <c r="K35"/>
  <c r="K37"/>
  <c r="K22"/>
  <c r="K16"/>
  <c r="K56"/>
  <c r="K18"/>
  <c r="K14"/>
  <c r="I32"/>
  <c r="K32" s="1"/>
  <c r="I39"/>
  <c r="K39" s="1"/>
  <c r="I34"/>
  <c r="I36"/>
  <c r="I38" l="1"/>
  <c r="K38" s="1"/>
  <c r="O38" s="1"/>
  <c r="T38" s="1"/>
  <c r="L41"/>
  <c r="Q41" s="1"/>
  <c r="O41"/>
  <c r="T41" s="1"/>
  <c r="M41"/>
  <c r="R41" s="1"/>
  <c r="P41"/>
  <c r="U41" s="1"/>
  <c r="N41"/>
  <c r="S41" s="1"/>
  <c r="O33"/>
  <c r="T33" s="1"/>
  <c r="L33"/>
  <c r="Q33" s="1"/>
  <c r="M33"/>
  <c r="R33" s="1"/>
  <c r="P33"/>
  <c r="U33" s="1"/>
  <c r="N33"/>
  <c r="S33" s="1"/>
  <c r="N39"/>
  <c r="S39" s="1"/>
  <c r="M39"/>
  <c r="R39" s="1"/>
  <c r="O39"/>
  <c r="T39" s="1"/>
  <c r="P39"/>
  <c r="U39" s="1"/>
  <c r="L39"/>
  <c r="Q39" s="1"/>
  <c r="N56"/>
  <c r="S56" s="1"/>
  <c r="M56"/>
  <c r="R56" s="1"/>
  <c r="L56"/>
  <c r="Q56" s="1"/>
  <c r="P56"/>
  <c r="U56" s="1"/>
  <c r="O56"/>
  <c r="T56" s="1"/>
  <c r="I40"/>
  <c r="K40" s="1"/>
  <c r="P37"/>
  <c r="U37" s="1"/>
  <c r="N37"/>
  <c r="S37" s="1"/>
  <c r="L37"/>
  <c r="Q37" s="1"/>
  <c r="M37"/>
  <c r="R37" s="1"/>
  <c r="O37"/>
  <c r="T37" s="1"/>
  <c r="L32"/>
  <c r="Q32" s="1"/>
  <c r="O32"/>
  <c r="T32" s="1"/>
  <c r="M32"/>
  <c r="R32" s="1"/>
  <c r="N32"/>
  <c r="S32" s="1"/>
  <c r="P32"/>
  <c r="U32" s="1"/>
  <c r="N35"/>
  <c r="S35" s="1"/>
  <c r="O35"/>
  <c r="T35" s="1"/>
  <c r="P35"/>
  <c r="U35" s="1"/>
  <c r="L35"/>
  <c r="Q35" s="1"/>
  <c r="M35"/>
  <c r="R35" s="1"/>
  <c r="O18"/>
  <c r="T18" s="1"/>
  <c r="M18"/>
  <c r="R18" s="1"/>
  <c r="P18"/>
  <c r="U18" s="1"/>
  <c r="N18"/>
  <c r="S18" s="1"/>
  <c r="L18"/>
  <c r="Q18" s="1"/>
  <c r="P16"/>
  <c r="U16" s="1"/>
  <c r="O16"/>
  <c r="T16" s="1"/>
  <c r="N16"/>
  <c r="S16" s="1"/>
  <c r="M16"/>
  <c r="R16" s="1"/>
  <c r="L16"/>
  <c r="Q16" s="1"/>
  <c r="L14"/>
  <c r="Q14" s="1"/>
  <c r="P14"/>
  <c r="U14" s="1"/>
  <c r="O14"/>
  <c r="T14" s="1"/>
  <c r="N14"/>
  <c r="S14" s="1"/>
  <c r="M14"/>
  <c r="R14" s="1"/>
  <c r="O22"/>
  <c r="T22" s="1"/>
  <c r="P22"/>
  <c r="U22" s="1"/>
  <c r="N22"/>
  <c r="S22" s="1"/>
  <c r="M22"/>
  <c r="R22" s="1"/>
  <c r="L22"/>
  <c r="Q22" s="1"/>
  <c r="K36"/>
  <c r="K34"/>
  <c r="K15"/>
  <c r="K54"/>
  <c r="I42"/>
  <c r="K42" s="1"/>
  <c r="K52"/>
  <c r="K13"/>
  <c r="K21"/>
  <c r="K19"/>
  <c r="K53"/>
  <c r="K17"/>
  <c r="K20"/>
  <c r="K60"/>
  <c r="N38" l="1"/>
  <c r="S38" s="1"/>
  <c r="X38" s="1"/>
  <c r="P38"/>
  <c r="U38" s="1"/>
  <c r="Z38" s="1"/>
  <c r="M38"/>
  <c r="R38" s="1"/>
  <c r="W38" s="1"/>
  <c r="L38"/>
  <c r="Q38" s="1"/>
  <c r="V38" s="1"/>
  <c r="Y14"/>
  <c r="W37"/>
  <c r="X18"/>
  <c r="Y35"/>
  <c r="V18"/>
  <c r="W56"/>
  <c r="Y33"/>
  <c r="Y22"/>
  <c r="W14"/>
  <c r="Y16"/>
  <c r="V35"/>
  <c r="V32"/>
  <c r="Z56"/>
  <c r="X39"/>
  <c r="W33"/>
  <c r="Y18"/>
  <c r="X14"/>
  <c r="Z16"/>
  <c r="Z35"/>
  <c r="Y37"/>
  <c r="V56"/>
  <c r="V33"/>
  <c r="Z14"/>
  <c r="X16"/>
  <c r="X22"/>
  <c r="V22"/>
  <c r="V16"/>
  <c r="X35"/>
  <c r="V37"/>
  <c r="X56"/>
  <c r="X41"/>
  <c r="W18"/>
  <c r="X32"/>
  <c r="Z37"/>
  <c r="Z39"/>
  <c r="Y38"/>
  <c r="W41"/>
  <c r="O42"/>
  <c r="T42" s="1"/>
  <c r="Y42" s="1"/>
  <c r="P42"/>
  <c r="U42" s="1"/>
  <c r="Z42" s="1"/>
  <c r="M42"/>
  <c r="R42" s="1"/>
  <c r="W42" s="1"/>
  <c r="L42"/>
  <c r="Q42" s="1"/>
  <c r="V42" s="1"/>
  <c r="N42"/>
  <c r="S42" s="1"/>
  <c r="X42" s="1"/>
  <c r="V14"/>
  <c r="W22"/>
  <c r="Z18"/>
  <c r="Z32"/>
  <c r="X37"/>
  <c r="V39"/>
  <c r="Z41"/>
  <c r="M52"/>
  <c r="R52" s="1"/>
  <c r="W52" s="1"/>
  <c r="P52"/>
  <c r="U52" s="1"/>
  <c r="Z52" s="1"/>
  <c r="O52"/>
  <c r="T52" s="1"/>
  <c r="Y52" s="1"/>
  <c r="L52"/>
  <c r="Q52" s="1"/>
  <c r="V52" s="1"/>
  <c r="N52"/>
  <c r="S52" s="1"/>
  <c r="X52" s="1"/>
  <c r="P40"/>
  <c r="U40" s="1"/>
  <c r="Z40" s="1"/>
  <c r="O40"/>
  <c r="T40" s="1"/>
  <c r="Y40" s="1"/>
  <c r="M40"/>
  <c r="R40" s="1"/>
  <c r="W40" s="1"/>
  <c r="L40"/>
  <c r="Q40" s="1"/>
  <c r="V40" s="1"/>
  <c r="N40"/>
  <c r="S40" s="1"/>
  <c r="X40" s="1"/>
  <c r="L54"/>
  <c r="Q54" s="1"/>
  <c r="V54" s="1"/>
  <c r="P54"/>
  <c r="U54" s="1"/>
  <c r="Z54" s="1"/>
  <c r="N54"/>
  <c r="S54" s="1"/>
  <c r="X54" s="1"/>
  <c r="M54"/>
  <c r="R54" s="1"/>
  <c r="W54" s="1"/>
  <c r="O54"/>
  <c r="T54" s="1"/>
  <c r="Y54" s="1"/>
  <c r="L53"/>
  <c r="Q53" s="1"/>
  <c r="V53" s="1"/>
  <c r="N53"/>
  <c r="S53" s="1"/>
  <c r="X53" s="1"/>
  <c r="M53"/>
  <c r="R53" s="1"/>
  <c r="W53" s="1"/>
  <c r="O53"/>
  <c r="T53" s="1"/>
  <c r="Y53" s="1"/>
  <c r="P53"/>
  <c r="U53" s="1"/>
  <c r="Z53" s="1"/>
  <c r="L60"/>
  <c r="Q60" s="1"/>
  <c r="V60" s="1"/>
  <c r="P60"/>
  <c r="U60" s="1"/>
  <c r="Z60" s="1"/>
  <c r="N60"/>
  <c r="S60" s="1"/>
  <c r="X60" s="1"/>
  <c r="M60"/>
  <c r="R60" s="1"/>
  <c r="W60" s="1"/>
  <c r="O60"/>
  <c r="T60" s="1"/>
  <c r="Y60" s="1"/>
  <c r="Z22"/>
  <c r="W16"/>
  <c r="W32"/>
  <c r="Y39"/>
  <c r="X33"/>
  <c r="Y41"/>
  <c r="L34"/>
  <c r="Q34" s="1"/>
  <c r="V34" s="1"/>
  <c r="M34"/>
  <c r="R34" s="1"/>
  <c r="W34" s="1"/>
  <c r="O34"/>
  <c r="T34" s="1"/>
  <c r="Y34" s="1"/>
  <c r="N34"/>
  <c r="S34" s="1"/>
  <c r="X34" s="1"/>
  <c r="P34"/>
  <c r="U34" s="1"/>
  <c r="Z34" s="1"/>
  <c r="M36"/>
  <c r="R36" s="1"/>
  <c r="W36" s="1"/>
  <c r="L36"/>
  <c r="Q36" s="1"/>
  <c r="V36" s="1"/>
  <c r="P36"/>
  <c r="U36" s="1"/>
  <c r="Z36" s="1"/>
  <c r="O36"/>
  <c r="T36" s="1"/>
  <c r="Y36" s="1"/>
  <c r="N36"/>
  <c r="S36" s="1"/>
  <c r="X36" s="1"/>
  <c r="W35"/>
  <c r="Y32"/>
  <c r="Y56"/>
  <c r="W39"/>
  <c r="Z33"/>
  <c r="V41"/>
  <c r="L17"/>
  <c r="Q17" s="1"/>
  <c r="V17" s="1"/>
  <c r="P17"/>
  <c r="U17" s="1"/>
  <c r="Z17" s="1"/>
  <c r="O17"/>
  <c r="T17" s="1"/>
  <c r="Y17" s="1"/>
  <c r="N17"/>
  <c r="S17" s="1"/>
  <c r="X17" s="1"/>
  <c r="M17"/>
  <c r="R17" s="1"/>
  <c r="W17" s="1"/>
  <c r="L15"/>
  <c r="Q15" s="1"/>
  <c r="V15" s="1"/>
  <c r="N15"/>
  <c r="S15" s="1"/>
  <c r="X15" s="1"/>
  <c r="P15"/>
  <c r="U15" s="1"/>
  <c r="Z15" s="1"/>
  <c r="O15"/>
  <c r="T15" s="1"/>
  <c r="Y15" s="1"/>
  <c r="M15"/>
  <c r="R15" s="1"/>
  <c r="W15" s="1"/>
  <c r="O13"/>
  <c r="T13" s="1"/>
  <c r="Y13" s="1"/>
  <c r="N13"/>
  <c r="S13" s="1"/>
  <c r="X13" s="1"/>
  <c r="M13"/>
  <c r="R13" s="1"/>
  <c r="W13" s="1"/>
  <c r="P13"/>
  <c r="U13" s="1"/>
  <c r="Z13" s="1"/>
  <c r="L13"/>
  <c r="Q13" s="1"/>
  <c r="V13" s="1"/>
  <c r="M21"/>
  <c r="R21" s="1"/>
  <c r="W21" s="1"/>
  <c r="N21"/>
  <c r="S21" s="1"/>
  <c r="X21" s="1"/>
  <c r="L21"/>
  <c r="Q21" s="1"/>
  <c r="V21" s="1"/>
  <c r="O21"/>
  <c r="T21" s="1"/>
  <c r="Y21" s="1"/>
  <c r="P21"/>
  <c r="U21" s="1"/>
  <c r="Z21" s="1"/>
  <c r="O20"/>
  <c r="T20" s="1"/>
  <c r="Y20" s="1"/>
  <c r="P20"/>
  <c r="U20" s="1"/>
  <c r="Z20" s="1"/>
  <c r="N20"/>
  <c r="S20" s="1"/>
  <c r="X20" s="1"/>
  <c r="M20"/>
  <c r="R20" s="1"/>
  <c r="W20" s="1"/>
  <c r="L20"/>
  <c r="Q20" s="1"/>
  <c r="V20" s="1"/>
  <c r="L19"/>
  <c r="Q19" s="1"/>
  <c r="V19" s="1"/>
  <c r="P19"/>
  <c r="U19" s="1"/>
  <c r="Z19" s="1"/>
  <c r="O19"/>
  <c r="T19" s="1"/>
  <c r="Y19" s="1"/>
  <c r="N19"/>
  <c r="S19" s="1"/>
  <c r="X19" s="1"/>
  <c r="M19"/>
  <c r="R19" s="1"/>
  <c r="W19" s="1"/>
  <c r="K57"/>
  <c r="K59"/>
  <c r="K58"/>
  <c r="K23"/>
  <c r="K51"/>
  <c r="K55"/>
  <c r="E62"/>
  <c r="D62"/>
  <c r="C62"/>
  <c r="B61"/>
  <c r="B60"/>
  <c r="B59"/>
  <c r="B58"/>
  <c r="B57"/>
  <c r="B56"/>
  <c r="B55"/>
  <c r="B54"/>
  <c r="B53"/>
  <c r="B52"/>
  <c r="B51"/>
  <c r="E43"/>
  <c r="D43"/>
  <c r="C43"/>
  <c r="E24"/>
  <c r="D24"/>
  <c r="C24"/>
  <c r="P58" l="1"/>
  <c r="U58" s="1"/>
  <c r="Z58" s="1"/>
  <c r="O58"/>
  <c r="T58" s="1"/>
  <c r="Y58" s="1"/>
  <c r="L58"/>
  <c r="Q58" s="1"/>
  <c r="V58" s="1"/>
  <c r="M58"/>
  <c r="R58" s="1"/>
  <c r="W58" s="1"/>
  <c r="N58"/>
  <c r="S58" s="1"/>
  <c r="X58" s="1"/>
  <c r="L55"/>
  <c r="Q55" s="1"/>
  <c r="V55" s="1"/>
  <c r="M55"/>
  <c r="R55" s="1"/>
  <c r="W55" s="1"/>
  <c r="N55"/>
  <c r="S55" s="1"/>
  <c r="X55" s="1"/>
  <c r="P55"/>
  <c r="U55" s="1"/>
  <c r="Z55" s="1"/>
  <c r="O55"/>
  <c r="T55" s="1"/>
  <c r="Y55" s="1"/>
  <c r="M51"/>
  <c r="R51" s="1"/>
  <c r="W51" s="1"/>
  <c r="O51"/>
  <c r="T51" s="1"/>
  <c r="Y51" s="1"/>
  <c r="N51"/>
  <c r="S51" s="1"/>
  <c r="X51" s="1"/>
  <c r="L51"/>
  <c r="Q51" s="1"/>
  <c r="V51" s="1"/>
  <c r="P51"/>
  <c r="U51" s="1"/>
  <c r="Z51" s="1"/>
  <c r="P57"/>
  <c r="U57" s="1"/>
  <c r="Z57" s="1"/>
  <c r="O57"/>
  <c r="T57" s="1"/>
  <c r="Y57" s="1"/>
  <c r="N57"/>
  <c r="S57" s="1"/>
  <c r="X57" s="1"/>
  <c r="M57"/>
  <c r="R57" s="1"/>
  <c r="W57" s="1"/>
  <c r="L57"/>
  <c r="Q57" s="1"/>
  <c r="V57" s="1"/>
  <c r="L59"/>
  <c r="Q59" s="1"/>
  <c r="V59" s="1"/>
  <c r="P59"/>
  <c r="U59" s="1"/>
  <c r="Z59" s="1"/>
  <c r="M59"/>
  <c r="R59" s="1"/>
  <c r="W59" s="1"/>
  <c r="O59"/>
  <c r="T59" s="1"/>
  <c r="Y59" s="1"/>
  <c r="N59"/>
  <c r="S59" s="1"/>
  <c r="X59" s="1"/>
  <c r="M23"/>
  <c r="R23" s="1"/>
  <c r="W23" s="1"/>
  <c r="O23"/>
  <c r="T23" s="1"/>
  <c r="Y23" s="1"/>
  <c r="L23"/>
  <c r="Q23" s="1"/>
  <c r="V23" s="1"/>
  <c r="P23"/>
  <c r="U23" s="1"/>
  <c r="Z23" s="1"/>
  <c r="N23"/>
  <c r="S23" s="1"/>
  <c r="X23" s="1"/>
  <c r="K24"/>
  <c r="K61"/>
  <c r="P61" l="1"/>
  <c r="U61" s="1"/>
  <c r="Z61" s="1"/>
  <c r="M61"/>
  <c r="R61" s="1"/>
  <c r="W61" s="1"/>
  <c r="N61"/>
  <c r="S61" s="1"/>
  <c r="X61" s="1"/>
  <c r="O61"/>
  <c r="T61" s="1"/>
  <c r="Y61" s="1"/>
  <c r="L61"/>
  <c r="Q61" s="1"/>
  <c r="V61" s="1"/>
  <c r="R24"/>
  <c r="AC20" s="1"/>
  <c r="W24"/>
  <c r="AD20" s="1"/>
  <c r="Z24"/>
  <c r="AD23" s="1"/>
  <c r="U24"/>
  <c r="K62"/>
  <c r="K43"/>
  <c r="X24"/>
  <c r="AD21" s="1"/>
  <c r="Y24"/>
  <c r="AD22" s="1"/>
  <c r="Q24"/>
  <c r="S24"/>
  <c r="T24"/>
  <c r="V24"/>
  <c r="AD19" s="1"/>
  <c r="D23" i="17" l="1"/>
  <c r="R25" i="5"/>
  <c r="T25"/>
  <c r="AC22"/>
  <c r="Q25"/>
  <c r="AC19"/>
  <c r="S25"/>
  <c r="AC21"/>
  <c r="U25"/>
  <c r="AC23"/>
  <c r="Q62"/>
  <c r="V62"/>
  <c r="AD57" s="1"/>
  <c r="R62"/>
  <c r="S43"/>
  <c r="W62"/>
  <c r="AD58" s="1"/>
  <c r="V43"/>
  <c r="AD38" s="1"/>
  <c r="Q43"/>
  <c r="X62"/>
  <c r="AD59" s="1"/>
  <c r="X43"/>
  <c r="AD40" s="1"/>
  <c r="Z62"/>
  <c r="AD61" s="1"/>
  <c r="U62"/>
  <c r="S62"/>
  <c r="Z43"/>
  <c r="AD42" s="1"/>
  <c r="Y62"/>
  <c r="AD60" s="1"/>
  <c r="Y43"/>
  <c r="AD41" s="1"/>
  <c r="R43"/>
  <c r="U43"/>
  <c r="T62"/>
  <c r="T43"/>
  <c r="W43"/>
  <c r="AD39" s="1"/>
  <c r="D25" i="17" l="1"/>
  <c r="D12"/>
  <c r="H23"/>
  <c r="H12" s="1"/>
  <c r="D22"/>
  <c r="D26"/>
  <c r="D24"/>
  <c r="R63" i="5"/>
  <c r="AC58"/>
  <c r="T63"/>
  <c r="AC60"/>
  <c r="S63"/>
  <c r="AC59"/>
  <c r="U63"/>
  <c r="AC61"/>
  <c r="Q63"/>
  <c r="AC57"/>
  <c r="Q44"/>
  <c r="AC38"/>
  <c r="T44"/>
  <c r="AC41"/>
  <c r="S44"/>
  <c r="AC40"/>
  <c r="R44"/>
  <c r="AC39"/>
  <c r="U44"/>
  <c r="AC42"/>
  <c r="F25" i="17" l="1"/>
  <c r="F23"/>
  <c r="E24"/>
  <c r="F26"/>
  <c r="E26"/>
  <c r="D15"/>
  <c r="H26"/>
  <c r="H15" s="1"/>
  <c r="E23"/>
  <c r="D11"/>
  <c r="H22"/>
  <c r="H11" s="1"/>
  <c r="E25"/>
  <c r="F24"/>
  <c r="D13"/>
  <c r="H24"/>
  <c r="H13" s="1"/>
  <c r="D14"/>
  <c r="H25"/>
  <c r="H14" s="1"/>
  <c r="E22"/>
  <c r="F22"/>
  <c r="E13" l="1"/>
  <c r="I24"/>
  <c r="I13" s="1"/>
  <c r="E11"/>
  <c r="I22"/>
  <c r="I11" s="1"/>
  <c r="E14"/>
  <c r="I25"/>
  <c r="I14" s="1"/>
  <c r="E15"/>
  <c r="I26"/>
  <c r="I15" s="1"/>
  <c r="F12"/>
  <c r="J23"/>
  <c r="J12" s="1"/>
  <c r="F15"/>
  <c r="J26"/>
  <c r="J15" s="1"/>
  <c r="F14"/>
  <c r="J25"/>
  <c r="J14" s="1"/>
  <c r="F11"/>
  <c r="J22"/>
  <c r="J11" s="1"/>
  <c r="E12"/>
  <c r="I23"/>
  <c r="I12" s="1"/>
  <c r="F13"/>
  <c r="J24"/>
  <c r="J13" s="1"/>
</calcChain>
</file>

<file path=xl/sharedStrings.xml><?xml version="1.0" encoding="utf-8"?>
<sst xmlns="http://schemas.openxmlformats.org/spreadsheetml/2006/main" count="793" uniqueCount="309">
  <si>
    <t>Cloudy Day</t>
  </si>
  <si>
    <t>Solar Time</t>
  </si>
  <si>
    <t>Mildly Cloudy Day</t>
  </si>
  <si>
    <t>Clear Day</t>
  </si>
  <si>
    <r>
      <t>(Btu/hr.ft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</si>
  <si>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Solar Irradiance</t>
  </si>
  <si>
    <r>
      <t>I</t>
    </r>
    <r>
      <rPr>
        <vertAlign val="subscript"/>
        <sz val="11"/>
        <color theme="1"/>
        <rFont val="Calibri"/>
        <family val="2"/>
        <scheme val="minor"/>
      </rPr>
      <t xml:space="preserve">BP, </t>
    </r>
    <r>
      <rPr>
        <sz val="11"/>
        <color theme="1"/>
        <rFont val="Calibri"/>
        <family val="2"/>
        <scheme val="minor"/>
      </rPr>
      <t>Direct Beam Irridiance</t>
    </r>
  </si>
  <si>
    <t>Hour Angle</t>
  </si>
  <si>
    <t>(Degrees)</t>
  </si>
  <si>
    <r>
      <t>Total (Btu/day.ft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</si>
  <si>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Normalized Sine (Hr Angle)</t>
  </si>
  <si>
    <r>
      <t>I</t>
    </r>
    <r>
      <rPr>
        <vertAlign val="subscript"/>
        <sz val="11"/>
        <color theme="1"/>
        <rFont val="Calibri"/>
        <family val="2"/>
        <scheme val="minor"/>
      </rPr>
      <t xml:space="preserve">dP, </t>
    </r>
    <r>
      <rPr>
        <sz val="11"/>
        <color theme="1"/>
        <rFont val="Calibri"/>
        <family val="2"/>
        <scheme val="minor"/>
      </rPr>
      <t>Diffuse Beam Irradiance</t>
    </r>
  </si>
  <si>
    <r>
      <t>I</t>
    </r>
    <r>
      <rPr>
        <vertAlign val="subscript"/>
        <sz val="11"/>
        <color theme="1"/>
        <rFont val="Calibri"/>
        <family val="2"/>
        <scheme val="minor"/>
      </rPr>
      <t xml:space="preserve">TP, </t>
    </r>
    <r>
      <rPr>
        <sz val="11"/>
        <color theme="1"/>
        <rFont val="Calibri"/>
        <family val="2"/>
        <scheme val="minor"/>
      </rPr>
      <t>Total Irradiance</t>
    </r>
  </si>
  <si>
    <t>Sine (Hr Angle)</t>
  </si>
  <si>
    <t>Clear</t>
  </si>
  <si>
    <t>Mildly Cloudy</t>
  </si>
  <si>
    <t>Cloudy</t>
  </si>
  <si>
    <t>Incidence Angles</t>
  </si>
  <si>
    <t>Diffuse Beam Modifier</t>
  </si>
  <si>
    <t>Collector  Type:</t>
  </si>
  <si>
    <r>
      <t>m</t>
    </r>
    <r>
      <rPr>
        <vertAlign val="superscript"/>
        <sz val="11"/>
        <color indexed="8"/>
        <rFont val="Calibri"/>
        <family val="2"/>
      </rPr>
      <t>2</t>
    </r>
  </si>
  <si>
    <t>Gross Length:</t>
  </si>
  <si>
    <t>m</t>
  </si>
  <si>
    <t>Gross Width:</t>
  </si>
  <si>
    <t>kPa</t>
  </si>
  <si>
    <t>psi</t>
  </si>
  <si>
    <t>kg</t>
  </si>
  <si>
    <t>mm</t>
  </si>
  <si>
    <t>inches</t>
  </si>
  <si>
    <t>Tested in accordance with:</t>
  </si>
  <si>
    <t>W/m².°C</t>
  </si>
  <si>
    <t>Glazed Flat Plate</t>
  </si>
  <si>
    <r>
      <t>ƞ</t>
    </r>
    <r>
      <rPr>
        <b/>
        <vertAlign val="subscript"/>
        <sz val="11"/>
        <color theme="1"/>
        <rFont val="Calibri"/>
        <family val="2"/>
      </rPr>
      <t>0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</si>
  <si>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</si>
  <si>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</si>
  <si>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W/m².°C</t>
    </r>
    <r>
      <rPr>
        <vertAlign val="superscript"/>
        <sz val="11"/>
        <color theme="1"/>
        <rFont val="Calibri"/>
        <family val="2"/>
        <scheme val="minor"/>
      </rPr>
      <t>2</t>
    </r>
  </si>
  <si>
    <t>kg/s</t>
  </si>
  <si>
    <t>Thermal Efficiency Coefficients [Based on Gross Area]</t>
  </si>
  <si>
    <t>Incident Angle Modifier</t>
  </si>
  <si>
    <t>S = (1/cos θ) -1</t>
  </si>
  <si>
    <t>ISO 9806-1 1994</t>
  </si>
  <si>
    <t>Linear IAM Equation</t>
  </si>
  <si>
    <r>
      <t xml:space="preserve">Collector Efficiency, </t>
    </r>
    <r>
      <rPr>
        <b/>
        <sz val="11"/>
        <color theme="1"/>
        <rFont val="Calibri"/>
        <family val="2"/>
      </rPr>
      <t>ƞ</t>
    </r>
    <r>
      <rPr>
        <b/>
        <sz val="11"/>
        <color theme="1"/>
        <rFont val="Calibri"/>
        <family val="2"/>
        <scheme val="minor"/>
      </rPr>
      <t xml:space="preserve"> at Effective Irradiance at Category</t>
    </r>
  </si>
  <si>
    <t>ƞ</t>
  </si>
  <si>
    <t>Collector Performance at Effective Irradiance per Collector</t>
  </si>
  <si>
    <r>
      <t>Collector Performance at Effective Irradiance per ft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</si>
  <si>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Category A</t>
  </si>
  <si>
    <t>Category B</t>
  </si>
  <si>
    <t>Category C</t>
  </si>
  <si>
    <t>Category D</t>
  </si>
  <si>
    <t>Category E</t>
  </si>
  <si>
    <t>Collector Thermal Performance Rating</t>
  </si>
  <si>
    <t>per collector</t>
  </si>
  <si>
    <t>CLEAR DAY</t>
  </si>
  <si>
    <t>TOTALS</t>
  </si>
  <si>
    <t>Incidence Angle Mod</t>
  </si>
  <si>
    <t>Hour)</t>
  </si>
  <si>
    <r>
      <t>Collector Performance at Effective Irradiance per ft</t>
    </r>
    <r>
      <rPr>
        <b/>
        <vertAlign val="superscript"/>
        <sz val="11"/>
        <rFont val="Calibri"/>
        <family val="2"/>
        <scheme val="minor"/>
      </rPr>
      <t>2</t>
    </r>
  </si>
  <si>
    <t>CLOUDY DAY</t>
  </si>
  <si>
    <t>MILDLY CLOUDY DAY</t>
  </si>
  <si>
    <t>Ω, Transversal Angle of Incidence</t>
  </si>
  <si>
    <t>ψ, Longitudinal Angle of Incidence</t>
  </si>
  <si>
    <t>θ, Angle of Incidence to Normal</t>
  </si>
  <si>
    <t>Conversion Factors IP to SI:</t>
  </si>
  <si>
    <r>
      <t xml:space="preserve">Solar Azimuth Angle, </t>
    </r>
    <r>
      <rPr>
        <sz val="11"/>
        <rFont val="Calibri"/>
        <family val="2"/>
      </rPr>
      <t>γ</t>
    </r>
    <r>
      <rPr>
        <vertAlign val="subscript"/>
        <sz val="11"/>
        <rFont val="Calibri"/>
        <family val="2"/>
      </rPr>
      <t>s</t>
    </r>
  </si>
  <si>
    <r>
      <t xml:space="preserve">Transversal angle of incidence, </t>
    </r>
    <r>
      <rPr>
        <sz val="11"/>
        <rFont val="Calibri"/>
        <family val="2"/>
      </rPr>
      <t>θ</t>
    </r>
    <r>
      <rPr>
        <vertAlign val="subscript"/>
        <sz val="11"/>
        <rFont val="Calibri"/>
        <family val="2"/>
      </rPr>
      <t>T</t>
    </r>
  </si>
  <si>
    <t>(Hour)</t>
  </si>
  <si>
    <t>DAY COMPARISON</t>
  </si>
  <si>
    <t>CLEAR</t>
  </si>
  <si>
    <t>MILDLY CLOUDY</t>
  </si>
  <si>
    <t>CLOUDY</t>
  </si>
  <si>
    <t>DAILY SOLAR IRRADIANCE VALUES AND INCIDENCE ANGLES (IP Units)</t>
  </si>
  <si>
    <t>DAILY COMPARISON</t>
  </si>
  <si>
    <t>DAILY SOLAR IRRADIANCE VALUES AND INCIDENCE ANGLES (SI Units)</t>
  </si>
  <si>
    <r>
      <t>I</t>
    </r>
    <r>
      <rPr>
        <i/>
        <vertAlign val="subscript"/>
        <sz val="11"/>
        <color theme="1"/>
        <rFont val="Calibri"/>
        <family val="2"/>
        <scheme val="minor"/>
      </rPr>
      <t xml:space="preserve">dP, </t>
    </r>
    <r>
      <rPr>
        <i/>
        <sz val="11"/>
        <color theme="1"/>
        <rFont val="Calibri"/>
        <family val="2"/>
        <scheme val="minor"/>
      </rPr>
      <t>Diffuse Beam Irradiance</t>
    </r>
  </si>
  <si>
    <r>
      <t>I</t>
    </r>
    <r>
      <rPr>
        <i/>
        <vertAlign val="subscript"/>
        <sz val="11"/>
        <color theme="1"/>
        <rFont val="Calibri"/>
        <family val="2"/>
        <scheme val="minor"/>
      </rPr>
      <t xml:space="preserve">TP, </t>
    </r>
    <r>
      <rPr>
        <i/>
        <sz val="11"/>
        <color theme="1"/>
        <rFont val="Calibri"/>
        <family val="2"/>
        <scheme val="minor"/>
      </rPr>
      <t>Total Irradiance</t>
    </r>
  </si>
  <si>
    <r>
      <t>(Btu/hr.ft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)</t>
    </r>
  </si>
  <si>
    <t>Btu/h to Watts:</t>
  </si>
  <si>
    <r>
      <t>Direct Beam Solar Irradiance,  G</t>
    </r>
    <r>
      <rPr>
        <vertAlign val="subscript"/>
        <sz val="11"/>
        <rFont val="Calibri"/>
        <family val="2"/>
      </rPr>
      <t>b</t>
    </r>
  </si>
  <si>
    <r>
      <t>Diffuse Solar Irradiance,           G</t>
    </r>
    <r>
      <rPr>
        <vertAlign val="subscript"/>
        <sz val="11"/>
        <rFont val="Calibri"/>
        <family val="2"/>
      </rPr>
      <t>d</t>
    </r>
  </si>
  <si>
    <r>
      <t xml:space="preserve"> Total Solar Irradiance,           G</t>
    </r>
    <r>
      <rPr>
        <vertAlign val="superscript"/>
        <sz val="11"/>
        <rFont val="Calibri"/>
        <family val="2"/>
      </rPr>
      <t>1)</t>
    </r>
  </si>
  <si>
    <r>
      <t>Longitudinal angle of incidence, θ</t>
    </r>
    <r>
      <rPr>
        <vertAlign val="subscript"/>
        <sz val="11"/>
        <rFont val="Calibri"/>
        <family val="2"/>
      </rPr>
      <t>L</t>
    </r>
  </si>
  <si>
    <r>
      <t>ft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to m</t>
    </r>
    <r>
      <rPr>
        <vertAlign val="superscript"/>
        <sz val="11"/>
        <color rgb="FF000000"/>
        <rFont val="Calibri"/>
        <family val="2"/>
      </rPr>
      <t>2:</t>
    </r>
  </si>
  <si>
    <r>
      <t>(W/m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</si>
  <si>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r>
      <t>TOTAL (kWh/m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theme="1"/>
        <rFont val="Calibri"/>
        <family val="2"/>
        <scheme val="minor"/>
      </rPr>
      <t>.day)</t>
    </r>
  </si>
  <si>
    <r>
      <t>TOTAL (kWh/m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.day)</t>
    </r>
  </si>
  <si>
    <r>
      <t>Angle of Incidence to collector normal, θ</t>
    </r>
    <r>
      <rPr>
        <vertAlign val="subscript"/>
        <sz val="11"/>
        <rFont val="Calibri"/>
        <family val="2"/>
      </rPr>
      <t>i</t>
    </r>
  </si>
  <si>
    <r>
      <t>Incidence angle, 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degrees</t>
    </r>
  </si>
  <si>
    <t>Incidence Angle Modifier</t>
  </si>
  <si>
    <r>
      <t>Incidence angle, 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Radians</t>
    </r>
  </si>
  <si>
    <r>
      <t>Incidence angle modifier, 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θ</t>
    </r>
    <r>
      <rPr>
        <b/>
        <vertAlign val="subscript"/>
        <sz val="11"/>
        <color theme="1"/>
        <rFont val="Calibri"/>
        <family val="2"/>
      </rPr>
      <t>i</t>
    </r>
    <r>
      <rPr>
        <b/>
        <sz val="11"/>
        <color theme="1"/>
        <rFont val="Calibri"/>
        <family val="2"/>
      </rPr>
      <t>)</t>
    </r>
  </si>
  <si>
    <r>
      <t>Incidence angle modifier for direct radiation, 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</si>
  <si>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 Test + Inter / Extrapolated Values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</si>
  <si>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θ</t>
    </r>
    <r>
      <rPr>
        <b/>
        <vertAlign val="subscript"/>
        <sz val="11"/>
        <color theme="1"/>
        <rFont val="Calibri"/>
        <family val="2"/>
      </rPr>
      <t>i</t>
    </r>
    <r>
      <rPr>
        <b/>
        <sz val="11"/>
        <color theme="1"/>
        <rFont val="Calibri"/>
        <family val="2"/>
      </rPr>
      <t>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</si>
  <si>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θ</t>
    </r>
    <r>
      <rPr>
        <b/>
        <vertAlign val="subscript"/>
        <sz val="11"/>
        <color theme="1"/>
        <rFont val="Calibri"/>
        <family val="2"/>
      </rPr>
      <t>i</t>
    </r>
    <r>
      <rPr>
        <b/>
        <sz val="11"/>
        <color theme="1"/>
        <rFont val="Calibri"/>
        <family val="2"/>
      </rPr>
      <t>) - 1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</si>
  <si>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 Linear fit slope coefficient</t>
    </r>
  </si>
  <si>
    <r>
      <t>Diffuse Irradiation Modifier, K</t>
    </r>
    <r>
      <rPr>
        <b/>
        <vertAlign val="subscript"/>
        <sz val="11"/>
        <color theme="1"/>
        <rFont val="Calibri"/>
        <family val="2"/>
      </rPr>
      <t>Θ</t>
    </r>
    <r>
      <rPr>
        <b/>
        <vertAlign val="subscript"/>
        <sz val="11"/>
        <color theme="1"/>
        <rFont val="Calibri"/>
        <family val="2"/>
        <scheme val="minor"/>
      </rPr>
      <t>d</t>
    </r>
  </si>
  <si>
    <r>
      <t>sin(2</t>
    </r>
    <r>
      <rPr>
        <b/>
        <sz val="11"/>
        <color theme="1"/>
        <rFont val="Calibri"/>
        <family val="2"/>
      </rPr>
      <t>θ</t>
    </r>
    <r>
      <rPr>
        <b/>
        <vertAlign val="subscript"/>
        <sz val="11"/>
        <color theme="1"/>
        <rFont val="Calibri"/>
        <family val="2"/>
      </rPr>
      <t>i</t>
    </r>
    <r>
      <rPr>
        <b/>
        <sz val="11"/>
        <color theme="1"/>
        <rFont val="Calibri"/>
        <family val="2"/>
      </rPr>
      <t>)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</si>
  <si>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).sin(2θ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</t>
    </r>
  </si>
  <si>
    <r>
      <t>Trapezoid areas under K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(θ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).sin(2θ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</t>
    </r>
  </si>
  <si>
    <r>
      <t>Diffuse Isotropic Irradiation Modifier, K</t>
    </r>
    <r>
      <rPr>
        <b/>
        <vertAlign val="subscript"/>
        <sz val="11"/>
        <color theme="1"/>
        <rFont val="Calibri"/>
        <family val="2"/>
      </rPr>
      <t>Θ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=</t>
    </r>
  </si>
  <si>
    <t>Listee Name:</t>
  </si>
  <si>
    <t>Collector Brand Name:</t>
  </si>
  <si>
    <t>Unglazed Flat Plate</t>
  </si>
  <si>
    <t>Tubular</t>
  </si>
  <si>
    <t>TESTED COLLECTOR</t>
  </si>
  <si>
    <t>Test Lab:</t>
  </si>
  <si>
    <t>ISO 9806-1: 1994</t>
  </si>
  <si>
    <t>ISO 9806-2: 1995</t>
  </si>
  <si>
    <t>ISO 9806: 2013</t>
  </si>
  <si>
    <t>ISO 9806-3</t>
  </si>
  <si>
    <t xml:space="preserve">Model No: </t>
  </si>
  <si>
    <t>W/m².K</t>
  </si>
  <si>
    <r>
      <t>T</t>
    </r>
    <r>
      <rPr>
        <sz val="11"/>
        <color theme="1"/>
        <rFont val="Calibri"/>
        <family val="2"/>
      </rPr>
      <t>hermal efficiency at T</t>
    </r>
    <r>
      <rPr>
        <vertAlign val="subscript"/>
        <sz val="11"/>
        <color theme="1"/>
        <rFont val="Calibri"/>
        <family val="2"/>
      </rPr>
      <t>i</t>
    </r>
    <r>
      <rPr>
        <sz val="11"/>
        <color theme="1"/>
        <rFont val="Calibri"/>
        <family val="2"/>
      </rPr>
      <t>* = 0,</t>
    </r>
    <r>
      <rPr>
        <b/>
        <sz val="11"/>
        <color theme="1"/>
        <rFont val="Calibri"/>
        <family val="2"/>
      </rPr>
      <t xml:space="preserve"> ƞ</t>
    </r>
    <r>
      <rPr>
        <b/>
        <vertAlign val="subscript"/>
        <sz val="11"/>
        <color theme="1"/>
        <rFont val="Calibri"/>
        <family val="2"/>
      </rPr>
      <t>0</t>
    </r>
  </si>
  <si>
    <t>Pre-exposure test pressure</t>
  </si>
  <si>
    <t>Post-exposure test pressure</t>
  </si>
  <si>
    <t>Average pressure tested</t>
  </si>
  <si>
    <t>m/s</t>
  </si>
  <si>
    <t>Linear fit to data:</t>
  </si>
  <si>
    <t>Second order fit to data:</t>
  </si>
  <si>
    <r>
      <rPr>
        <sz val="11"/>
        <color theme="1"/>
        <rFont val="Calibri"/>
        <family val="2"/>
      </rPr>
      <t>y-intercept,</t>
    </r>
    <r>
      <rPr>
        <b/>
        <sz val="11"/>
        <color theme="1"/>
        <rFont val="Calibri"/>
        <family val="2"/>
      </rPr>
      <t xml:space="preserve">  ƞ</t>
    </r>
    <r>
      <rPr>
        <b/>
        <vertAlign val="subscript"/>
        <sz val="11"/>
        <color theme="1"/>
        <rFont val="Calibri"/>
        <family val="2"/>
      </rPr>
      <t>0</t>
    </r>
  </si>
  <si>
    <r>
      <t>W/m².K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</si>
  <si>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</rPr>
      <t>∫</t>
    </r>
    <r>
      <rPr>
        <sz val="11"/>
        <color theme="1"/>
        <rFont val="Calibri"/>
        <family val="2"/>
        <scheme val="minor"/>
      </rPr>
      <t>K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(θ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).sin(2θ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).d</t>
    </r>
    <r>
      <rPr>
        <sz val="11"/>
        <color theme="1"/>
        <rFont val="Calibri"/>
        <family val="2"/>
      </rPr>
      <t>θ =</t>
    </r>
  </si>
  <si>
    <r>
      <t>Direct Beam Solar Irradiance,G</t>
    </r>
    <r>
      <rPr>
        <vertAlign val="subscript"/>
        <sz val="11"/>
        <rFont val="Calibri"/>
        <family val="2"/>
        <scheme val="minor"/>
      </rPr>
      <t>b</t>
    </r>
  </si>
  <si>
    <r>
      <t>Diffuse Solar Irradiance, G</t>
    </r>
    <r>
      <rPr>
        <vertAlign val="subscript"/>
        <sz val="11"/>
        <rFont val="Calibri"/>
        <family val="2"/>
        <scheme val="minor"/>
      </rPr>
      <t>d</t>
    </r>
  </si>
  <si>
    <r>
      <t xml:space="preserve"> Total Solar Irradiance, G</t>
    </r>
    <r>
      <rPr>
        <vertAlign val="superscript"/>
        <sz val="11"/>
        <rFont val="Calibri"/>
        <family val="2"/>
        <scheme val="minor"/>
      </rPr>
      <t>1)</t>
    </r>
  </si>
  <si>
    <r>
      <t xml:space="preserve">Angle of Incidence to collector normal, </t>
    </r>
    <r>
      <rPr>
        <sz val="11"/>
        <rFont val="Calibri"/>
        <family val="2"/>
      </rPr>
      <t>θi</t>
    </r>
  </si>
  <si>
    <r>
      <t>Longitudinal angle of incidence, θ</t>
    </r>
    <r>
      <rPr>
        <vertAlign val="subscript"/>
        <sz val="11"/>
        <rFont val="Calibri"/>
        <family val="2"/>
        <scheme val="minor"/>
      </rPr>
      <t>L</t>
    </r>
  </si>
  <si>
    <r>
      <t>(W/m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</si>
  <si>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Equivalent Normal Irradiance, G'</t>
    </r>
    <r>
      <rPr>
        <b/>
        <vertAlign val="subscript"/>
        <sz val="11"/>
        <rFont val="Calibri"/>
        <family val="2"/>
      </rPr>
      <t>n</t>
    </r>
  </si>
  <si>
    <r>
      <t>Incident Angle Modifier, K</t>
    </r>
    <r>
      <rPr>
        <vertAlign val="subscript"/>
        <sz val="11"/>
        <rFont val="Calibri"/>
        <family val="2"/>
      </rPr>
      <t>θ</t>
    </r>
  </si>
  <si>
    <r>
      <t>Efficiency Equation [Based on gross area and (P)=T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-T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]</t>
    </r>
  </si>
  <si>
    <t>Gross Area Basis</t>
  </si>
  <si>
    <t>Gross Area</t>
  </si>
  <si>
    <r>
      <t xml:space="preserve">Collector Efficiency, </t>
    </r>
    <r>
      <rPr>
        <b/>
        <sz val="11"/>
        <rFont val="Calibri"/>
        <family val="2"/>
      </rPr>
      <t>ƞ</t>
    </r>
    <r>
      <rPr>
        <b/>
        <sz val="11"/>
        <rFont val="Calibri"/>
        <family val="2"/>
        <scheme val="minor"/>
      </rPr>
      <t xml:space="preserve"> for each category:</t>
    </r>
  </si>
  <si>
    <t>Conversion Factors SI to IP:</t>
  </si>
  <si>
    <t>Watts to Btu/h:</t>
  </si>
  <si>
    <t>kW to Btu/h</t>
  </si>
  <si>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to ft</t>
    </r>
    <r>
      <rPr>
        <vertAlign val="superscript"/>
        <sz val="11"/>
        <color rgb="FF000000"/>
        <rFont val="Calibri"/>
        <family val="2"/>
      </rPr>
      <t>2</t>
    </r>
  </si>
  <si>
    <t>Btu/h to kW</t>
  </si>
  <si>
    <t>Btu to kW.h</t>
  </si>
  <si>
    <t>kW.h to Btu</t>
  </si>
  <si>
    <t>(W.h/m2)</t>
  </si>
  <si>
    <t>(W.h)</t>
  </si>
  <si>
    <r>
      <t>(W/m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</si>
  <si>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Category A (t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) K</t>
    </r>
  </si>
  <si>
    <t>HEATING CATEGORY</t>
  </si>
  <si>
    <t>kWh per day</t>
  </si>
  <si>
    <r>
      <t>per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</si>
  <si>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(kWh/m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.day)</t>
    </r>
  </si>
  <si>
    <t>(kWh/day)</t>
  </si>
  <si>
    <t>Temperature Difference</t>
  </si>
  <si>
    <t>Kilowatt-hours per Collector per Day</t>
  </si>
  <si>
    <t>DAILY THERMAL PERFORMANCE RATING PER COLLECTOR</t>
  </si>
  <si>
    <t>THERMAL PERFORMANCE RATING</t>
  </si>
  <si>
    <t>INCIDENCE ANGLE MODIFIER FOR DIRECT IRRADIANCE</t>
  </si>
  <si>
    <t>[kWh/day]</t>
  </si>
  <si>
    <t>MILDLY</t>
  </si>
  <si>
    <t>Btu/h</t>
  </si>
  <si>
    <t>STAGNATION TEMPERATURE</t>
  </si>
  <si>
    <r>
      <t>Btu/h.ft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to kW.h/m</t>
    </r>
    <r>
      <rPr>
        <vertAlign val="superscript"/>
        <sz val="11"/>
        <color theme="1"/>
        <rFont val="Calibri"/>
        <family val="2"/>
      </rPr>
      <t>2</t>
    </r>
  </si>
  <si>
    <r>
      <t>kWh/m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to Btu/h.ft</t>
    </r>
    <r>
      <rPr>
        <vertAlign val="superscript"/>
        <sz val="11"/>
        <color theme="1"/>
        <rFont val="Calibri"/>
        <family val="2"/>
      </rPr>
      <t>2</t>
    </r>
  </si>
  <si>
    <r>
      <t>W/m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to Btu/h.ft</t>
    </r>
    <r>
      <rPr>
        <vertAlign val="superscript"/>
        <sz val="11"/>
        <color theme="1"/>
        <rFont val="Calibri"/>
        <family val="2"/>
      </rPr>
      <t>2</t>
    </r>
  </si>
  <si>
    <r>
      <t xml:space="preserve"> Btu/h.ft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to W/m</t>
    </r>
    <r>
      <rPr>
        <vertAlign val="superscript"/>
        <sz val="11"/>
        <color theme="1"/>
        <rFont val="Calibri"/>
        <family val="2"/>
      </rPr>
      <t>2</t>
    </r>
  </si>
  <si>
    <t>ft to m</t>
  </si>
  <si>
    <t>m to ft</t>
  </si>
  <si>
    <t>Model Number:</t>
  </si>
  <si>
    <t>Collector Type and optical category:</t>
  </si>
  <si>
    <t>Flow pattern:</t>
  </si>
  <si>
    <t>Plate/fin material:</t>
  </si>
  <si>
    <t>Header material:</t>
  </si>
  <si>
    <t>Riser tube material:</t>
  </si>
  <si>
    <t>Riser to fin/plate bond:</t>
  </si>
  <si>
    <t>Number of riser tubes:</t>
  </si>
  <si>
    <t>Construction (eg. Sheet, fins, etc.):</t>
  </si>
  <si>
    <t>Plate/fin thickness</t>
  </si>
  <si>
    <t>Header tube OD</t>
  </si>
  <si>
    <t>Header tube wall thickness</t>
  </si>
  <si>
    <t>Riser tube OD</t>
  </si>
  <si>
    <t>Riser tube wall thickness</t>
  </si>
  <si>
    <t>Type (eg. Tubes, covers, etc.):</t>
  </si>
  <si>
    <t>Number of covers/tubes:</t>
  </si>
  <si>
    <t>Glazing material:</t>
  </si>
  <si>
    <t>Glazing thickness:</t>
  </si>
  <si>
    <t>Glazing width / tube diameter:</t>
  </si>
  <si>
    <t>Glazing/tube length:</t>
  </si>
  <si>
    <t>INSULATION (applies to flat plate collector enclosure)</t>
  </si>
  <si>
    <t>Side - inner insulation thickness:</t>
  </si>
  <si>
    <t>Side - outer insulation thickness:</t>
  </si>
  <si>
    <t>Back - inner insulation thickness:</t>
  </si>
  <si>
    <t>Back - outer insulation thickness:</t>
  </si>
  <si>
    <t>Back - outer insulation material:</t>
  </si>
  <si>
    <t>Back - inner insulation material:</t>
  </si>
  <si>
    <t>Side - outer insulation material:</t>
  </si>
  <si>
    <t>Side - inner insulation material:</t>
  </si>
  <si>
    <t xml:space="preserve">GLAZING  </t>
  </si>
  <si>
    <t xml:space="preserve">ABSORBER   </t>
  </si>
  <si>
    <t xml:space="preserve">COLLECTOR CONSTRUCTION &amp; DIMENSIONS   </t>
  </si>
  <si>
    <t>lb</t>
  </si>
  <si>
    <t>Weight empty:</t>
  </si>
  <si>
    <t>Caulking/sealant materials:</t>
  </si>
  <si>
    <t>Frame fastening methods:</t>
  </si>
  <si>
    <r>
      <t>ƞ</t>
    </r>
    <r>
      <rPr>
        <b/>
        <vertAlign val="subscript"/>
        <sz val="11"/>
        <rFont val="Calibri"/>
        <family val="2"/>
      </rPr>
      <t>0</t>
    </r>
  </si>
  <si>
    <r>
      <rPr>
        <sz val="11"/>
        <rFont val="Calibri"/>
        <family val="2"/>
      </rPr>
      <t>y-intercept,</t>
    </r>
    <r>
      <rPr>
        <b/>
        <sz val="11"/>
        <rFont val="Calibri"/>
        <family val="2"/>
      </rPr>
      <t xml:space="preserve">  ƞ</t>
    </r>
    <r>
      <rPr>
        <b/>
        <vertAlign val="subscript"/>
        <sz val="11"/>
        <rFont val="Calibri"/>
        <family val="2"/>
      </rPr>
      <t>0L</t>
    </r>
  </si>
  <si>
    <r>
      <t>a</t>
    </r>
    <r>
      <rPr>
        <b/>
        <vertAlign val="subscript"/>
        <sz val="11"/>
        <rFont val="Calibri"/>
        <family val="2"/>
        <scheme val="minor"/>
      </rPr>
      <t>1</t>
    </r>
  </si>
  <si>
    <r>
      <rPr>
        <sz val="11"/>
        <rFont val="Calibri"/>
        <family val="2"/>
        <scheme val="minor"/>
      </rPr>
      <t>Slope,</t>
    </r>
    <r>
      <rPr>
        <b/>
        <sz val="11"/>
        <rFont val="Calibri"/>
        <family val="2"/>
        <scheme val="minor"/>
      </rPr>
      <t xml:space="preserve"> U</t>
    </r>
  </si>
  <si>
    <r>
      <t>a</t>
    </r>
    <r>
      <rPr>
        <b/>
        <vertAlign val="subscript"/>
        <sz val="11"/>
        <rFont val="Calibri"/>
        <family val="2"/>
        <scheme val="minor"/>
      </rPr>
      <t>2</t>
    </r>
  </si>
  <si>
    <r>
      <t>W/m².K</t>
    </r>
    <r>
      <rPr>
        <vertAlign val="superscript"/>
        <sz val="11"/>
        <rFont val="Calibri"/>
        <family val="2"/>
        <scheme val="minor"/>
      </rPr>
      <t>2</t>
    </r>
  </si>
  <si>
    <r>
      <t>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[K]</t>
    </r>
  </si>
  <si>
    <r>
      <rPr>
        <sz val="11"/>
        <rFont val="Calibri"/>
        <family val="2"/>
        <scheme val="minor"/>
      </rPr>
      <t>Angle of incidence,</t>
    </r>
    <r>
      <rPr>
        <b/>
        <sz val="11"/>
        <rFont val="Calibri"/>
        <family val="2"/>
        <scheme val="minor"/>
      </rPr>
      <t xml:space="preserve"> θ</t>
    </r>
    <r>
      <rPr>
        <b/>
        <vertAlign val="subscript"/>
        <sz val="11"/>
        <rFont val="Calibri"/>
        <family val="2"/>
        <scheme val="minor"/>
      </rPr>
      <t>i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(degrees)</t>
    </r>
  </si>
  <si>
    <r>
      <rPr>
        <sz val="11"/>
        <rFont val="Calibri"/>
        <family val="2"/>
        <scheme val="minor"/>
      </rPr>
      <t>Incidence angle modifier,</t>
    </r>
    <r>
      <rPr>
        <b/>
        <sz val="11"/>
        <rFont val="Calibri"/>
        <family val="2"/>
        <scheme val="minor"/>
      </rPr>
      <t xml:space="preserve"> K</t>
    </r>
    <r>
      <rPr>
        <b/>
        <vertAlign val="subscript"/>
        <sz val="11"/>
        <rFont val="Calibri"/>
        <family val="2"/>
        <scheme val="minor"/>
      </rPr>
      <t>b</t>
    </r>
    <r>
      <rPr>
        <b/>
        <sz val="11"/>
        <rFont val="Calibri"/>
        <family val="2"/>
        <scheme val="minor"/>
      </rPr>
      <t xml:space="preserve"> (θ</t>
    </r>
    <r>
      <rPr>
        <b/>
        <vertAlign val="subscript"/>
        <sz val="11"/>
        <rFont val="Calibri"/>
        <family val="2"/>
        <scheme val="minor"/>
      </rPr>
      <t>i</t>
    </r>
    <r>
      <rPr>
        <b/>
        <sz val="11"/>
        <rFont val="Calibri"/>
        <family val="2"/>
        <scheme val="minor"/>
      </rPr>
      <t>)</t>
    </r>
  </si>
  <si>
    <r>
      <t xml:space="preserve"> (t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>)</t>
    </r>
  </si>
  <si>
    <r>
      <t>[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F]</t>
    </r>
  </si>
  <si>
    <r>
      <t>A</t>
    </r>
    <r>
      <rPr>
        <sz val="11"/>
        <rFont val="Calibri"/>
        <family val="2"/>
        <scheme val="minor"/>
      </rPr>
      <t xml:space="preserve"> - Pool heating (warm climate)</t>
    </r>
  </si>
  <si>
    <r>
      <t>B</t>
    </r>
    <r>
      <rPr>
        <sz val="11"/>
        <rFont val="Calibri"/>
        <family val="2"/>
        <scheme val="minor"/>
      </rPr>
      <t xml:space="preserve"> - Pool heating (cool climate)</t>
    </r>
  </si>
  <si>
    <r>
      <t>C</t>
    </r>
    <r>
      <rPr>
        <sz val="11"/>
        <rFont val="Calibri"/>
        <family val="2"/>
        <scheme val="minor"/>
      </rPr>
      <t xml:space="preserve">  - Water heating (warm climate)</t>
    </r>
  </si>
  <si>
    <r>
      <t>D</t>
    </r>
    <r>
      <rPr>
        <sz val="11"/>
        <rFont val="Calibri"/>
        <family val="2"/>
        <scheme val="minor"/>
      </rPr>
      <t xml:space="preserve"> - Space and water heating (cool climate)</t>
    </r>
  </si>
  <si>
    <r>
      <t>[Btu/ft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.day]</t>
    </r>
  </si>
  <si>
    <r>
      <t xml:space="preserve">Gross Area,  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11"/>
        <rFont val="Calibri"/>
        <family val="2"/>
        <scheme val="minor"/>
      </rPr>
      <t>G</t>
    </r>
    <r>
      <rPr>
        <b/>
        <sz val="11"/>
        <rFont val="Calibri"/>
        <family val="2"/>
        <scheme val="minor"/>
      </rPr>
      <t>:</t>
    </r>
  </si>
  <si>
    <r>
      <t>m</t>
    </r>
    <r>
      <rPr>
        <vertAlign val="superscript"/>
        <sz val="11"/>
        <rFont val="Calibri"/>
        <family val="2"/>
        <scheme val="minor"/>
      </rPr>
      <t>2</t>
    </r>
  </si>
  <si>
    <r>
      <t>ft</t>
    </r>
    <r>
      <rPr>
        <vertAlign val="superscript"/>
        <sz val="11"/>
        <rFont val="Calibri"/>
        <family val="2"/>
        <scheme val="minor"/>
      </rPr>
      <t>2</t>
    </r>
  </si>
  <si>
    <r>
      <t xml:space="preserve">Aperture Area,  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11"/>
        <rFont val="Calibri"/>
        <family val="2"/>
        <scheme val="minor"/>
      </rPr>
      <t>A</t>
    </r>
    <r>
      <rPr>
        <b/>
        <sz val="11"/>
        <rFont val="Calibri"/>
        <family val="2"/>
        <scheme val="minor"/>
      </rPr>
      <t>:</t>
    </r>
  </si>
  <si>
    <r>
      <t xml:space="preserve">Absorber Area,  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11"/>
        <rFont val="Calibri"/>
        <family val="2"/>
        <scheme val="minor"/>
      </rPr>
      <t>a</t>
    </r>
    <r>
      <rPr>
        <b/>
        <sz val="11"/>
        <rFont val="Calibri"/>
        <family val="2"/>
        <scheme val="minor"/>
      </rPr>
      <t>:</t>
    </r>
  </si>
  <si>
    <t>Glazing coatings or textures:</t>
  </si>
  <si>
    <t>Trim material:</t>
  </si>
  <si>
    <t>Enclosure frame side material:</t>
  </si>
  <si>
    <t>Enclosure frame back material:</t>
  </si>
  <si>
    <t>Glazing gasket material:</t>
  </si>
  <si>
    <t>Inlet/outlet tube gasket materials:</t>
  </si>
  <si>
    <t xml:space="preserve">TEST INFORMATION   </t>
  </si>
  <si>
    <t>Thermal test mean mass flow rate:</t>
  </si>
  <si>
    <t>Test heat transfer fluid:</t>
  </si>
  <si>
    <t>Mean irradiance during test:</t>
  </si>
  <si>
    <t>Mean windspeed during test:</t>
  </si>
  <si>
    <t>Thermal performance test method:</t>
  </si>
  <si>
    <t>Test report number:</t>
  </si>
  <si>
    <t>Operating pressure during test:</t>
  </si>
  <si>
    <t>psi to kPa</t>
  </si>
  <si>
    <t>kPa to psi</t>
  </si>
  <si>
    <r>
      <t>[kWh/m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.day]</t>
    </r>
  </si>
  <si>
    <t>DAILY THERMAL PERFORMANCE RATING PER UNIT AREA [Gross Area Basis]</t>
  </si>
  <si>
    <r>
      <t>Kilowatt-hours per 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per Day</t>
    </r>
  </si>
  <si>
    <r>
      <t>THERMAL PERFORMANCE EQUATIONS [</t>
    </r>
    <r>
      <rPr>
        <b/>
        <i/>
        <sz val="12"/>
        <rFont val="Calibri"/>
        <family val="2"/>
        <scheme val="minor"/>
      </rPr>
      <t>Gross area basis; Ti* basis]</t>
    </r>
  </si>
  <si>
    <t>THERMAL PERFORMANCE TEST CONDITIONS</t>
  </si>
  <si>
    <t xml:space="preserve">TEST LAB INFORMATION   </t>
  </si>
  <si>
    <r>
      <rPr>
        <sz val="11"/>
        <color theme="1"/>
        <rFont val="Calibri"/>
        <family val="2"/>
        <scheme val="minor"/>
      </rPr>
      <t>Heat loss coefficient,</t>
    </r>
    <r>
      <rPr>
        <b/>
        <sz val="11"/>
        <color theme="1"/>
        <rFont val="Calibri"/>
        <family val="2"/>
        <scheme val="minor"/>
      </rPr>
      <t xml:space="preserve"> a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</si>
  <si>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rPr>
        <sz val="11"/>
        <color theme="1"/>
        <rFont val="Calibri"/>
        <family val="2"/>
        <scheme val="minor"/>
      </rPr>
      <t>Slope,</t>
    </r>
    <r>
      <rPr>
        <b/>
        <sz val="11"/>
        <color theme="1"/>
        <rFont val="Calibri"/>
        <family val="2"/>
        <scheme val="minor"/>
      </rPr>
      <t xml:space="preserve"> U</t>
    </r>
  </si>
  <si>
    <t>Collector model tested:</t>
  </si>
  <si>
    <t>Tested in accordance with standard:</t>
  </si>
  <si>
    <t>Other Standards:</t>
  </si>
  <si>
    <t>GLAZED FLAT PLATE COLLECTOR TEST RESULTS AND SPECIFICATIONS</t>
  </si>
  <si>
    <t>Data from Test Lab Report</t>
  </si>
  <si>
    <t>Data from Manufacturer</t>
  </si>
  <si>
    <t>STATIC PRESSURE TEST</t>
  </si>
  <si>
    <r>
      <t>THERMAL PERFORMANCE TEST RESULTS [</t>
    </r>
    <r>
      <rPr>
        <b/>
        <i/>
        <sz val="11"/>
        <color theme="1"/>
        <rFont val="Calibri"/>
        <family val="2"/>
        <scheme val="minor"/>
      </rPr>
      <t>Gross area, A</t>
    </r>
    <r>
      <rPr>
        <b/>
        <i/>
        <vertAlign val="subscript"/>
        <sz val="11"/>
        <color theme="1"/>
        <rFont val="Calibri"/>
        <family val="2"/>
        <scheme val="minor"/>
      </rPr>
      <t>G</t>
    </r>
    <r>
      <rPr>
        <b/>
        <i/>
        <sz val="11"/>
        <color theme="1"/>
        <rFont val="Calibri"/>
        <family val="2"/>
        <scheme val="minor"/>
      </rPr>
      <t xml:space="preserve"> basis; Ti* basis</t>
    </r>
    <r>
      <rPr>
        <b/>
        <sz val="11"/>
        <color theme="1"/>
        <rFont val="Calibri"/>
        <family val="2"/>
        <scheme val="minor"/>
      </rPr>
      <t>]</t>
    </r>
  </si>
  <si>
    <t>INCIDENCE ANGLE MODIFIER [for Direct Beam Irradiation]</t>
  </si>
  <si>
    <t>Calculated from Test Lab Report</t>
  </si>
  <si>
    <t>Manufacturer Data verified on test lab report</t>
  </si>
  <si>
    <r>
      <t>W/m</t>
    </r>
    <r>
      <rPr>
        <vertAlign val="superscript"/>
        <sz val="11"/>
        <rFont val="Calibri"/>
        <family val="2"/>
        <scheme val="minor"/>
      </rPr>
      <t>2</t>
    </r>
  </si>
  <si>
    <t>Tested in accordance with standards:</t>
  </si>
  <si>
    <t>Normal</t>
  </si>
  <si>
    <t>lb/hr</t>
  </si>
  <si>
    <t>ft/s</t>
  </si>
  <si>
    <t>kg to lb</t>
  </si>
  <si>
    <t>lb to kg</t>
  </si>
  <si>
    <r>
      <t>Btu/h.ft</t>
    </r>
    <r>
      <rPr>
        <vertAlign val="superscript"/>
        <sz val="11"/>
        <rFont val="Calibri"/>
        <family val="2"/>
        <scheme val="minor"/>
      </rPr>
      <t>2</t>
    </r>
  </si>
  <si>
    <r>
      <t xml:space="preserve"> Btu/h.ft</t>
    </r>
    <r>
      <rPr>
        <vertAlign val="superscript"/>
        <sz val="11"/>
        <color theme="1"/>
        <rFont val="Calibri"/>
        <family val="2"/>
      </rPr>
      <t xml:space="preserve">2 </t>
    </r>
    <r>
      <rPr>
        <sz val="11"/>
        <color theme="1"/>
        <rFont val="Calibri"/>
        <family val="2"/>
      </rPr>
      <t>to W/m</t>
    </r>
    <r>
      <rPr>
        <vertAlign val="superscript"/>
        <sz val="11"/>
        <color theme="1"/>
        <rFont val="Calibri"/>
        <family val="2"/>
      </rPr>
      <t xml:space="preserve">2 </t>
    </r>
  </si>
  <si>
    <t>mm to inches</t>
  </si>
  <si>
    <t>inches to mm</t>
  </si>
  <si>
    <r>
      <rPr>
        <sz val="11"/>
        <color theme="1"/>
        <rFont val="Calibri"/>
        <family val="2"/>
        <scheme val="minor"/>
      </rPr>
      <t>Temp dependance of heat loss coefficient,</t>
    </r>
    <r>
      <rPr>
        <b/>
        <sz val="11"/>
        <color theme="1"/>
        <rFont val="Calibri"/>
        <family val="2"/>
        <scheme val="minor"/>
      </rPr>
      <t xml:space="preserve"> a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</si>
  <si>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F to </t>
    </r>
    <r>
      <rPr>
        <vertAlign val="super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>C (incremental)</t>
    </r>
  </si>
  <si>
    <r>
      <rPr>
        <vertAlign val="super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C to </t>
    </r>
    <r>
      <rPr>
        <vertAlign val="super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>F (incremental)</t>
    </r>
  </si>
  <si>
    <t>Power Output [Btu/h]</t>
  </si>
  <si>
    <t>W</t>
  </si>
  <si>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C</t>
    </r>
  </si>
  <si>
    <r>
      <t>o</t>
    </r>
    <r>
      <rPr>
        <sz val="11"/>
        <rFont val="Calibri"/>
        <family val="2"/>
        <scheme val="minor"/>
      </rPr>
      <t>F</t>
    </r>
  </si>
  <si>
    <r>
      <t>Stagnation temperature, t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equation:</t>
    </r>
  </si>
  <si>
    <r>
      <t>COLLECTOR POWER OUTPUT [for G = 1000 W/m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(317 Btu/h) at near normal angle of incidence]</t>
    </r>
  </si>
  <si>
    <t>Power Output [W]</t>
  </si>
  <si>
    <r>
      <t>t</t>
    </r>
    <r>
      <rPr>
        <vertAlign val="subscript"/>
        <sz val="11"/>
        <rFont val="Calibri"/>
        <family val="2"/>
        <scheme val="minor"/>
      </rPr>
      <t>as</t>
    </r>
    <r>
      <rPr>
        <sz val="11"/>
        <rFont val="Calibri"/>
        <family val="2"/>
        <scheme val="minor"/>
      </rPr>
      <t xml:space="preserve"> = ambient temperature, G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 irradiance normal to collector</t>
    </r>
  </si>
  <si>
    <r>
      <t>t</t>
    </r>
    <r>
      <rPr>
        <vertAlign val="subscript"/>
        <sz val="11"/>
        <rFont val="Calibri"/>
        <family val="2"/>
        <scheme val="minor"/>
      </rPr>
      <t>in</t>
    </r>
    <r>
      <rPr>
        <sz val="11"/>
        <rFont val="Calibri"/>
        <family val="2"/>
        <scheme val="minor"/>
      </rPr>
      <t xml:space="preserve"> - t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[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F]</t>
    </r>
  </si>
  <si>
    <t>Test pressure:</t>
  </si>
  <si>
    <r>
      <t>t</t>
    </r>
    <r>
      <rPr>
        <b/>
        <vertAlign val="subscript"/>
        <sz val="11"/>
        <rFont val="Calibri"/>
        <family val="2"/>
        <scheme val="minor"/>
      </rPr>
      <t>s</t>
    </r>
    <r>
      <rPr>
        <b/>
        <sz val="11"/>
        <rFont val="Calibri"/>
        <family val="2"/>
        <scheme val="minor"/>
      </rPr>
      <t xml:space="preserve"> for stagnation conditions of G = 1000 W/m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,  t</t>
    </r>
    <r>
      <rPr>
        <b/>
        <vertAlign val="subscript"/>
        <sz val="11"/>
        <rFont val="Calibri"/>
        <family val="2"/>
        <scheme val="minor"/>
      </rPr>
      <t>a</t>
    </r>
    <r>
      <rPr>
        <b/>
        <sz val="11"/>
        <rFont val="Calibri"/>
        <family val="2"/>
        <scheme val="minor"/>
      </rPr>
      <t xml:space="preserve"> = 30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>C:</t>
    </r>
  </si>
  <si>
    <r>
      <rPr>
        <b/>
        <sz val="11"/>
        <rFont val="Calibri"/>
        <family val="2"/>
        <scheme val="minor"/>
      </rPr>
      <t>Daily irradiances:</t>
    </r>
    <r>
      <rPr>
        <sz val="11"/>
        <rFont val="Calibri"/>
        <family val="2"/>
        <scheme val="minor"/>
      </rPr>
      <t xml:space="preserve"> clear day = 6.309 kWh/m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 (2000 Btu/ft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.day); mildly cloudy day = 4.732 kWh/m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 (1500 Btu/ft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.day); cloudy day = 6.309 kWh/m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 (1000 Btu/ft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.day)</t>
    </r>
  </si>
  <si>
    <r>
      <t>[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C]</t>
    </r>
  </si>
  <si>
    <r>
      <t>E</t>
    </r>
    <r>
      <rPr>
        <sz val="11"/>
        <rFont val="Calibri"/>
        <family val="2"/>
        <scheme val="minor"/>
      </rPr>
      <t xml:space="preserve"> - Commercial heating &amp; cooling</t>
    </r>
  </si>
  <si>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- Commercial heating &amp; cooling</t>
    </r>
  </si>
  <si>
    <t>kPa to psf</t>
  </si>
  <si>
    <t>psf to kPa</t>
  </si>
  <si>
    <t>Test location &amp; method:</t>
  </si>
  <si>
    <t>Plate/fin thickness:</t>
  </si>
  <si>
    <t>Header tube OD:</t>
  </si>
  <si>
    <t>Header tube wall thickness:</t>
  </si>
  <si>
    <t>Riser tube OD:</t>
  </si>
  <si>
    <t>Riser tube wall thickness:</t>
  </si>
  <si>
    <r>
      <t>Btu/h.ft².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F</t>
    </r>
  </si>
  <si>
    <r>
      <t>Btu/h.ft².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F</t>
    </r>
    <r>
      <rPr>
        <vertAlign val="superscript"/>
        <sz val="11"/>
        <rFont val="Calibri"/>
        <family val="2"/>
        <scheme val="minor"/>
      </rPr>
      <t>2</t>
    </r>
  </si>
  <si>
    <t>[kBtu/day]</t>
  </si>
  <si>
    <t>Thousands of Btu per Collector per Day</t>
  </si>
  <si>
    <r>
      <t>Thousands of Btu per ft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per Day</t>
    </r>
  </si>
  <si>
    <t>SRCC Standard 100-13</t>
  </si>
  <si>
    <t>Gross Frame Height:</t>
  </si>
  <si>
    <t>m to inches</t>
  </si>
  <si>
    <t>inches to m</t>
  </si>
  <si>
    <t>Test mass flow rate/Area:</t>
  </si>
  <si>
    <r>
      <t>kg/m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.s</t>
    </r>
  </si>
  <si>
    <t>Test report date:</t>
  </si>
  <si>
    <t>July 17, 2015</t>
  </si>
  <si>
    <t>ISO 9806</t>
  </si>
</sst>
</file>

<file path=xl/styles.xml><?xml version="1.0" encoding="utf-8"?>
<styleSheet xmlns="http://schemas.openxmlformats.org/spreadsheetml/2006/main">
  <numFmts count="15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"/>
    <numFmt numFmtId="167" formatCode="0.0000"/>
    <numFmt numFmtId="168" formatCode="0.00000"/>
    <numFmt numFmtId="169" formatCode="_(* #,##0.0_);_(* \(#,##0.0\);_(* &quot;-&quot;??_);_(@_)"/>
    <numFmt numFmtId="170" formatCode="_(* #,##0.000_);_(* \(#,##0.000\);_(* &quot;-&quot;??_);_(@_)"/>
    <numFmt numFmtId="171" formatCode="0.00000000"/>
    <numFmt numFmtId="172" formatCode="0.000000000"/>
    <numFmt numFmtId="173" formatCode="0;\-0;;@"/>
    <numFmt numFmtId="174" formatCode="0.0;\-0.0;;@"/>
    <numFmt numFmtId="175" formatCode="0.00;\-0.00;;@"/>
    <numFmt numFmtId="176" formatCode="0.000;\-0.000;;@"/>
    <numFmt numFmtId="177" formatCode="0.0000;\-0.0000;;@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</font>
    <font>
      <b/>
      <vertAlign val="super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vertAlign val="subscript"/>
      <sz val="11"/>
      <name val="Calibri"/>
      <family val="2"/>
    </font>
    <font>
      <b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u/>
      <sz val="14"/>
      <color rgb="FF000000"/>
      <name val="Calibri"/>
      <family val="2"/>
    </font>
    <font>
      <b/>
      <sz val="14"/>
      <color rgb="FF000000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  <scheme val="minor"/>
    </font>
    <font>
      <b/>
      <vertAlign val="subscript"/>
      <sz val="11"/>
      <name val="Calibri"/>
      <family val="2"/>
    </font>
    <font>
      <vertAlign val="superscript"/>
      <sz val="11"/>
      <color theme="1"/>
      <name val="Calibri"/>
      <family val="2"/>
    </font>
    <font>
      <b/>
      <vertAlign val="subscript"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vertAlign val="superscript"/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0" fillId="2" borderId="0" applyNumberFormat="0" applyBorder="0" applyAlignment="0" applyProtection="0"/>
    <xf numFmtId="0" fontId="11" fillId="3" borderId="15" applyNumberFormat="0" applyAlignment="0" applyProtection="0"/>
    <xf numFmtId="9" fontId="2" fillId="0" borderId="0" applyFont="0" applyFill="0" applyBorder="0" applyAlignment="0" applyProtection="0"/>
  </cellStyleXfs>
  <cellXfs count="824">
    <xf numFmtId="0" fontId="0" fillId="0" borderId="0" xfId="0"/>
    <xf numFmtId="0" fontId="0" fillId="0" borderId="0" xfId="0" applyFill="1"/>
    <xf numFmtId="0" fontId="1" fillId="0" borderId="0" xfId="0" applyFont="1"/>
    <xf numFmtId="164" fontId="0" fillId="0" borderId="1" xfId="1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165" fontId="11" fillId="3" borderId="2" xfId="3" applyNumberFormat="1" applyBorder="1" applyAlignment="1">
      <alignment horizontal="left" vertical="center" wrapText="1"/>
    </xf>
    <xf numFmtId="2" fontId="0" fillId="0" borderId="2" xfId="0" applyNumberForma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167" fontId="11" fillId="3" borderId="2" xfId="3" applyNumberForma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0" fontId="10" fillId="0" borderId="0" xfId="2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2" applyFill="1" applyBorder="1" applyAlignment="1">
      <alignment horizontal="center" vertical="center"/>
    </xf>
    <xf numFmtId="0" fontId="15" fillId="0" borderId="3" xfId="2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/>
    </xf>
    <xf numFmtId="0" fontId="11" fillId="3" borderId="2" xfId="3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0" xfId="0"/>
    <xf numFmtId="165" fontId="0" fillId="0" borderId="0" xfId="0" applyNumberFormat="1" applyFill="1" applyBorder="1" applyAlignment="1">
      <alignment horizontal="center"/>
    </xf>
    <xf numFmtId="165" fontId="11" fillId="0" borderId="0" xfId="3" quotePrefix="1" applyNumberFormat="1" applyFill="1" applyBorder="1" applyAlignment="1">
      <alignment horizontal="center" vertical="center"/>
    </xf>
    <xf numFmtId="165" fontId="11" fillId="3" borderId="2" xfId="3" quotePrefix="1" applyNumberFormat="1" applyBorder="1" applyAlignment="1">
      <alignment horizontal="center" vertical="center"/>
    </xf>
    <xf numFmtId="165" fontId="11" fillId="0" borderId="2" xfId="3" quotePrefix="1" applyNumberFormat="1" applyFill="1" applyBorder="1" applyAlignment="1">
      <alignment horizontal="center" vertical="center"/>
    </xf>
    <xf numFmtId="2" fontId="11" fillId="0" borderId="2" xfId="3" quotePrefix="1" applyNumberForma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1" fillId="0" borderId="0" xfId="3" quotePrefix="1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65" fontId="1" fillId="0" borderId="0" xfId="0" applyNumberFormat="1" applyFont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Border="1"/>
    <xf numFmtId="0" fontId="0" fillId="0" borderId="2" xfId="0" applyFont="1" applyBorder="1" applyAlignment="1">
      <alignment horizontal="right" vertical="center"/>
    </xf>
    <xf numFmtId="165" fontId="11" fillId="3" borderId="2" xfId="3" applyNumberFormat="1" applyBorder="1" applyAlignment="1">
      <alignment horizontal="center"/>
    </xf>
    <xf numFmtId="165" fontId="11" fillId="0" borderId="2" xfId="3" applyNumberForma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0" xfId="0"/>
    <xf numFmtId="0" fontId="5" fillId="0" borderId="0" xfId="0" applyFont="1" applyAlignment="1">
      <alignment horizontal="center"/>
    </xf>
    <xf numFmtId="9" fontId="0" fillId="0" borderId="0" xfId="4" applyFont="1"/>
    <xf numFmtId="2" fontId="0" fillId="0" borderId="14" xfId="0" applyNumberFormat="1" applyBorder="1"/>
    <xf numFmtId="2" fontId="0" fillId="0" borderId="0" xfId="0" applyNumberFormat="1" applyBorder="1"/>
    <xf numFmtId="2" fontId="0" fillId="0" borderId="10" xfId="0" applyNumberFormat="1" applyBorder="1"/>
    <xf numFmtId="166" fontId="0" fillId="0" borderId="14" xfId="0" applyNumberFormat="1" applyBorder="1"/>
    <xf numFmtId="166" fontId="0" fillId="0" borderId="0" xfId="0" applyNumberFormat="1" applyBorder="1"/>
    <xf numFmtId="166" fontId="0" fillId="0" borderId="10" xfId="0" applyNumberFormat="1" applyBorder="1"/>
    <xf numFmtId="1" fontId="0" fillId="0" borderId="14" xfId="0" applyNumberFormat="1" applyBorder="1"/>
    <xf numFmtId="1" fontId="0" fillId="0" borderId="0" xfId="0" applyNumberFormat="1" applyBorder="1"/>
    <xf numFmtId="1" fontId="0" fillId="0" borderId="10" xfId="0" applyNumberFormat="1" applyBorder="1"/>
    <xf numFmtId="0" fontId="1" fillId="0" borderId="0" xfId="0" applyFont="1" applyFill="1" applyAlignment="1">
      <alignment horizontal="center"/>
    </xf>
    <xf numFmtId="0" fontId="0" fillId="0" borderId="0" xfId="0"/>
    <xf numFmtId="1" fontId="0" fillId="0" borderId="0" xfId="0" applyNumberFormat="1" applyFill="1" applyBorder="1"/>
    <xf numFmtId="0" fontId="0" fillId="0" borderId="2" xfId="0" applyBorder="1"/>
    <xf numFmtId="165" fontId="0" fillId="0" borderId="14" xfId="0" applyNumberFormat="1" applyBorder="1"/>
    <xf numFmtId="165" fontId="0" fillId="0" borderId="10" xfId="0" applyNumberFormat="1" applyBorder="1"/>
    <xf numFmtId="166" fontId="0" fillId="0" borderId="16" xfId="0" applyNumberFormat="1" applyBorder="1"/>
    <xf numFmtId="166" fontId="0" fillId="0" borderId="13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0" fontId="0" fillId="0" borderId="14" xfId="0" applyFill="1" applyBorder="1"/>
    <xf numFmtId="0" fontId="0" fillId="0" borderId="10" xfId="0" applyFill="1" applyBorder="1"/>
    <xf numFmtId="164" fontId="0" fillId="4" borderId="4" xfId="1" applyNumberFormat="1" applyFont="1" applyFill="1" applyBorder="1"/>
    <xf numFmtId="164" fontId="0" fillId="4" borderId="1" xfId="1" applyNumberFormat="1" applyFont="1" applyFill="1" applyBorder="1"/>
    <xf numFmtId="164" fontId="0" fillId="4" borderId="5" xfId="1" applyNumberFormat="1" applyFont="1" applyFill="1" applyBorder="1"/>
    <xf numFmtId="164" fontId="0" fillId="4" borderId="11" xfId="1" applyNumberFormat="1" applyFont="1" applyFill="1" applyBorder="1"/>
    <xf numFmtId="164" fontId="0" fillId="4" borderId="12" xfId="1" applyNumberFormat="1" applyFont="1" applyFill="1" applyBorder="1"/>
    <xf numFmtId="164" fontId="0" fillId="4" borderId="2" xfId="1" applyNumberFormat="1" applyFont="1" applyFill="1" applyBorder="1"/>
    <xf numFmtId="0" fontId="6" fillId="5" borderId="17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7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165" fontId="0" fillId="0" borderId="14" xfId="0" applyNumberFormat="1" applyFill="1" applyBorder="1"/>
    <xf numFmtId="165" fontId="0" fillId="0" borderId="10" xfId="0" applyNumberFormat="1" applyFill="1" applyBorder="1"/>
    <xf numFmtId="166" fontId="0" fillId="0" borderId="16" xfId="0" applyNumberFormat="1" applyFill="1" applyBorder="1"/>
    <xf numFmtId="2" fontId="0" fillId="0" borderId="14" xfId="0" applyNumberFormat="1" applyFill="1" applyBorder="1"/>
    <xf numFmtId="2" fontId="0" fillId="0" borderId="0" xfId="0" applyNumberFormat="1" applyFill="1" applyBorder="1"/>
    <xf numFmtId="2" fontId="0" fillId="0" borderId="10" xfId="0" applyNumberFormat="1" applyFill="1" applyBorder="1"/>
    <xf numFmtId="166" fontId="0" fillId="0" borderId="14" xfId="0" applyNumberFormat="1" applyFill="1" applyBorder="1"/>
    <xf numFmtId="166" fontId="0" fillId="0" borderId="0" xfId="0" applyNumberFormat="1" applyFill="1" applyBorder="1"/>
    <xf numFmtId="166" fontId="0" fillId="0" borderId="10" xfId="0" applyNumberFormat="1" applyFill="1" applyBorder="1"/>
    <xf numFmtId="1" fontId="0" fillId="0" borderId="14" xfId="0" applyNumberFormat="1" applyFill="1" applyBorder="1"/>
    <xf numFmtId="1" fontId="0" fillId="0" borderId="10" xfId="0" applyNumberFormat="1" applyFill="1" applyBorder="1"/>
    <xf numFmtId="0" fontId="5" fillId="4" borderId="4" xfId="0" applyFont="1" applyFill="1" applyBorder="1" applyAlignment="1">
      <alignment horizontal="center"/>
    </xf>
    <xf numFmtId="9" fontId="0" fillId="4" borderId="1" xfId="4" applyFont="1" applyFill="1" applyBorder="1"/>
    <xf numFmtId="9" fontId="0" fillId="4" borderId="5" xfId="4" applyFont="1" applyFill="1" applyBorder="1"/>
    <xf numFmtId="0" fontId="6" fillId="5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9" fontId="0" fillId="4" borderId="4" xfId="4" applyFont="1" applyFill="1" applyBorder="1"/>
    <xf numFmtId="43" fontId="0" fillId="0" borderId="2" xfId="0" applyNumberFormat="1" applyBorder="1"/>
    <xf numFmtId="164" fontId="0" fillId="0" borderId="0" xfId="0" applyNumberFormat="1"/>
    <xf numFmtId="169" fontId="0" fillId="0" borderId="2" xfId="0" applyNumberFormat="1" applyBorder="1"/>
    <xf numFmtId="43" fontId="0" fillId="0" borderId="13" xfId="0" applyNumberFormat="1" applyBorder="1"/>
    <xf numFmtId="169" fontId="0" fillId="0" borderId="13" xfId="0" applyNumberFormat="1" applyBorder="1"/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165" fontId="0" fillId="0" borderId="6" xfId="0" applyNumberFormat="1" applyFill="1" applyBorder="1"/>
    <xf numFmtId="165" fontId="0" fillId="0" borderId="8" xfId="0" applyNumberFormat="1" applyFill="1" applyBorder="1"/>
    <xf numFmtId="165" fontId="0" fillId="0" borderId="12" xfId="0" applyNumberFormat="1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/>
    <xf numFmtId="2" fontId="0" fillId="0" borderId="2" xfId="0" applyNumberFormat="1" applyBorder="1" applyAlignment="1">
      <alignment horizontal="center"/>
    </xf>
    <xf numFmtId="0" fontId="0" fillId="0" borderId="0" xfId="0"/>
    <xf numFmtId="0" fontId="0" fillId="0" borderId="11" xfId="0" applyFill="1" applyBorder="1"/>
    <xf numFmtId="0" fontId="0" fillId="0" borderId="14" xfId="0" applyFill="1" applyBorder="1" applyAlignment="1">
      <alignment horizontal="center"/>
    </xf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25" fillId="0" borderId="14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2" fontId="25" fillId="0" borderId="14" xfId="0" applyNumberFormat="1" applyFont="1" applyFill="1" applyBorder="1"/>
    <xf numFmtId="1" fontId="25" fillId="0" borderId="10" xfId="0" applyNumberFormat="1" applyFont="1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2" fontId="25" fillId="0" borderId="4" xfId="0" applyNumberFormat="1" applyFont="1" applyFill="1" applyBorder="1"/>
    <xf numFmtId="1" fontId="25" fillId="0" borderId="5" xfId="0" applyNumberFormat="1" applyFont="1" applyFill="1" applyBorder="1"/>
    <xf numFmtId="164" fontId="0" fillId="0" borderId="4" xfId="1" applyNumberFormat="1" applyFont="1" applyFill="1" applyBorder="1"/>
    <xf numFmtId="164" fontId="0" fillId="0" borderId="5" xfId="1" applyNumberFormat="1" applyFont="1" applyFill="1" applyBorder="1"/>
    <xf numFmtId="0" fontId="25" fillId="0" borderId="0" xfId="0" applyFont="1" applyFill="1"/>
    <xf numFmtId="0" fontId="25" fillId="0" borderId="0" xfId="0" applyFont="1"/>
    <xf numFmtId="0" fontId="1" fillId="0" borderId="9" xfId="0" applyFont="1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0" fillId="0" borderId="16" xfId="0" applyFill="1" applyBorder="1"/>
    <xf numFmtId="0" fontId="25" fillId="0" borderId="0" xfId="0" applyFont="1" applyFill="1" applyBorder="1"/>
    <xf numFmtId="0" fontId="25" fillId="0" borderId="10" xfId="0" applyFont="1" applyFill="1" applyBorder="1"/>
    <xf numFmtId="0" fontId="0" fillId="0" borderId="2" xfId="0" applyFill="1" applyBorder="1" applyAlignment="1">
      <alignment horizontal="center"/>
    </xf>
    <xf numFmtId="164" fontId="25" fillId="0" borderId="1" xfId="1" applyNumberFormat="1" applyFont="1" applyFill="1" applyBorder="1"/>
    <xf numFmtId="164" fontId="25" fillId="0" borderId="5" xfId="1" applyNumberFormat="1" applyFont="1" applyFill="1" applyBorder="1"/>
    <xf numFmtId="0" fontId="28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9" fillId="0" borderId="14" xfId="0" applyFont="1" applyFill="1" applyBorder="1" applyAlignment="1"/>
    <xf numFmtId="0" fontId="29" fillId="0" borderId="0" xfId="0" applyFont="1" applyFill="1" applyBorder="1" applyAlignment="1"/>
    <xf numFmtId="0" fontId="5" fillId="8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/>
    </xf>
    <xf numFmtId="0" fontId="20" fillId="7" borderId="26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20" fillId="7" borderId="27" xfId="0" applyFont="1" applyFill="1" applyBorder="1" applyAlignment="1">
      <alignment horizontal="center"/>
    </xf>
    <xf numFmtId="0" fontId="20" fillId="0" borderId="14" xfId="0" applyFont="1" applyFill="1" applyBorder="1" applyAlignment="1"/>
    <xf numFmtId="0" fontId="5" fillId="0" borderId="10" xfId="0" applyFont="1" applyFill="1" applyBorder="1"/>
    <xf numFmtId="0" fontId="5" fillId="0" borderId="14" xfId="0" applyFont="1" applyFill="1" applyBorder="1" applyAlignment="1"/>
    <xf numFmtId="0" fontId="5" fillId="0" borderId="0" xfId="0" applyFont="1" applyFill="1" applyBorder="1" applyAlignment="1"/>
    <xf numFmtId="0" fontId="5" fillId="0" borderId="10" xfId="0" applyFont="1" applyFill="1" applyBorder="1" applyAlignment="1"/>
    <xf numFmtId="0" fontId="20" fillId="0" borderId="0" xfId="0" applyFont="1" applyFill="1" applyBorder="1" applyAlignment="1"/>
    <xf numFmtId="0" fontId="20" fillId="0" borderId="10" xfId="0" applyFont="1" applyFill="1" applyBorder="1" applyAlignment="1"/>
    <xf numFmtId="0" fontId="5" fillId="0" borderId="14" xfId="0" applyFont="1" applyFill="1" applyBorder="1"/>
    <xf numFmtId="1" fontId="5" fillId="0" borderId="14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170" fontId="5" fillId="8" borderId="4" xfId="1" applyNumberFormat="1" applyFont="1" applyFill="1" applyBorder="1" applyAlignment="1">
      <alignment horizontal="center"/>
    </xf>
    <xf numFmtId="170" fontId="5" fillId="8" borderId="51" xfId="1" applyNumberFormat="1" applyFont="1" applyFill="1" applyBorder="1" applyAlignment="1">
      <alignment horizontal="center"/>
    </xf>
    <xf numFmtId="170" fontId="5" fillId="8" borderId="1" xfId="1" applyNumberFormat="1" applyFont="1" applyFill="1" applyBorder="1" applyAlignment="1">
      <alignment horizontal="center"/>
    </xf>
    <xf numFmtId="164" fontId="5" fillId="0" borderId="6" xfId="1" applyNumberFormat="1" applyFont="1" applyFill="1" applyBorder="1"/>
    <xf numFmtId="164" fontId="5" fillId="0" borderId="7" xfId="1" applyNumberFormat="1" applyFont="1" applyFill="1" applyBorder="1"/>
    <xf numFmtId="0" fontId="33" fillId="0" borderId="0" xfId="0" applyFont="1" applyFill="1" applyBorder="1" applyAlignment="1"/>
    <xf numFmtId="0" fontId="20" fillId="7" borderId="30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3" xfId="0" applyFont="1" applyFill="1" applyBorder="1"/>
    <xf numFmtId="0" fontId="5" fillId="0" borderId="12" xfId="0" applyFont="1" applyFill="1" applyBorder="1"/>
    <xf numFmtId="170" fontId="5" fillId="8" borderId="5" xfId="1" applyNumberFormat="1" applyFont="1" applyFill="1" applyBorder="1" applyAlignment="1">
      <alignment horizontal="center"/>
    </xf>
    <xf numFmtId="0" fontId="20" fillId="7" borderId="55" xfId="0" applyFont="1" applyFill="1" applyBorder="1" applyAlignment="1">
      <alignment horizontal="center"/>
    </xf>
    <xf numFmtId="0" fontId="33" fillId="7" borderId="0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 wrapText="1"/>
    </xf>
    <xf numFmtId="0" fontId="5" fillId="7" borderId="28" xfId="0" applyFont="1" applyFill="1" applyBorder="1" applyAlignment="1">
      <alignment horizontal="center"/>
    </xf>
    <xf numFmtId="0" fontId="5" fillId="7" borderId="58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/>
    </xf>
    <xf numFmtId="0" fontId="33" fillId="0" borderId="4" xfId="0" applyFont="1" applyFill="1" applyBorder="1"/>
    <xf numFmtId="0" fontId="5" fillId="0" borderId="5" xfId="0" applyFont="1" applyFill="1" applyBorder="1"/>
    <xf numFmtId="0" fontId="0" fillId="0" borderId="12" xfId="0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25" fillId="0" borderId="11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0" fillId="0" borderId="13" xfId="0" applyFill="1" applyBorder="1"/>
    <xf numFmtId="0" fontId="25" fillId="0" borderId="3" xfId="0" applyFont="1" applyFill="1" applyBorder="1" applyAlignment="1">
      <alignment horizontal="center"/>
    </xf>
    <xf numFmtId="165" fontId="21" fillId="9" borderId="2" xfId="0" applyNumberFormat="1" applyFont="1" applyFill="1" applyBorder="1" applyAlignment="1">
      <alignment horizontal="center"/>
    </xf>
    <xf numFmtId="167" fontId="34" fillId="10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0" fillId="0" borderId="9" xfId="0" applyNumberForma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4" xfId="0" applyBorder="1"/>
    <xf numFmtId="0" fontId="0" fillId="0" borderId="1" xfId="0" applyFont="1" applyBorder="1" applyAlignment="1">
      <alignment horizontal="right"/>
    </xf>
    <xf numFmtId="165" fontId="0" fillId="0" borderId="5" xfId="0" applyNumberFormat="1" applyFill="1" applyBorder="1" applyAlignment="1">
      <alignment horizontal="center"/>
    </xf>
    <xf numFmtId="0" fontId="1" fillId="0" borderId="59" xfId="0" applyFont="1" applyFill="1" applyBorder="1" applyAlignment="1">
      <alignment horizontal="right"/>
    </xf>
    <xf numFmtId="165" fontId="34" fillId="10" borderId="2" xfId="0" applyNumberFormat="1" applyFont="1" applyFill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 vertical="center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2" fontId="0" fillId="0" borderId="2" xfId="0" applyNumberForma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5" fontId="6" fillId="9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/>
    <xf numFmtId="2" fontId="11" fillId="0" borderId="1" xfId="3" quotePrefix="1" applyNumberFormat="1" applyFill="1" applyBorder="1" applyAlignment="1">
      <alignment horizontal="center" vertical="center"/>
    </xf>
    <xf numFmtId="165" fontId="0" fillId="0" borderId="5" xfId="0" applyNumberFormat="1" applyBorder="1"/>
    <xf numFmtId="0" fontId="5" fillId="0" borderId="0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68" fontId="0" fillId="0" borderId="0" xfId="0" applyNumberForma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165" fontId="11" fillId="3" borderId="70" xfId="3" applyNumberFormat="1" applyBorder="1"/>
    <xf numFmtId="0" fontId="5" fillId="0" borderId="5" xfId="0" applyFont="1" applyBorder="1" applyAlignment="1">
      <alignment vertical="center"/>
    </xf>
    <xf numFmtId="9" fontId="6" fillId="4" borderId="5" xfId="4" applyFont="1" applyFill="1" applyBorder="1"/>
    <xf numFmtId="168" fontId="0" fillId="0" borderId="10" xfId="0" applyNumberFormat="1" applyFill="1" applyBorder="1"/>
    <xf numFmtId="0" fontId="0" fillId="5" borderId="12" xfId="0" applyFont="1" applyFill="1" applyBorder="1" applyAlignment="1">
      <alignment horizontal="center"/>
    </xf>
    <xf numFmtId="0" fontId="0" fillId="0" borderId="0" xfId="0"/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/>
    <xf numFmtId="0" fontId="6" fillId="0" borderId="0" xfId="0" applyFont="1"/>
    <xf numFmtId="0" fontId="6" fillId="0" borderId="0" xfId="3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65" fontId="6" fillId="0" borderId="0" xfId="3" quotePrefix="1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166" fontId="6" fillId="11" borderId="13" xfId="0" applyNumberFormat="1" applyFont="1" applyFill="1" applyBorder="1" applyAlignment="1">
      <alignment horizontal="center" vertical="center"/>
    </xf>
    <xf numFmtId="166" fontId="6" fillId="11" borderId="2" xfId="0" applyNumberFormat="1" applyFont="1" applyFill="1" applyBorder="1" applyAlignment="1">
      <alignment horizontal="center" vertical="center"/>
    </xf>
    <xf numFmtId="166" fontId="6" fillId="11" borderId="68" xfId="0" applyNumberFormat="1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5" xfId="0" applyFont="1" applyFill="1" applyBorder="1" applyAlignment="1">
      <alignment horizontal="center" vertical="center"/>
    </xf>
    <xf numFmtId="165" fontId="6" fillId="11" borderId="88" xfId="3" quotePrefix="1" applyNumberFormat="1" applyFont="1" applyFill="1" applyBorder="1" applyAlignment="1">
      <alignment horizontal="center" vertical="center"/>
    </xf>
    <xf numFmtId="165" fontId="6" fillId="11" borderId="89" xfId="3" quotePrefix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76" xfId="0" applyFont="1" applyFill="1" applyBorder="1" applyAlignment="1">
      <alignment horizontal="center" vertical="center" wrapText="1"/>
    </xf>
    <xf numFmtId="167" fontId="6" fillId="11" borderId="2" xfId="3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right" vertical="center"/>
    </xf>
    <xf numFmtId="0" fontId="15" fillId="0" borderId="116" xfId="0" applyFont="1" applyFill="1" applyBorder="1" applyAlignment="1">
      <alignment horizontal="right" vertical="center"/>
    </xf>
    <xf numFmtId="0" fontId="17" fillId="0" borderId="86" xfId="0" applyFont="1" applyFill="1" applyBorder="1" applyAlignment="1">
      <alignment horizontal="center" vertical="center" wrapText="1"/>
    </xf>
    <xf numFmtId="0" fontId="15" fillId="0" borderId="86" xfId="0" applyFont="1" applyFill="1" applyBorder="1" applyAlignment="1">
      <alignment horizontal="center" vertical="center" wrapText="1"/>
    </xf>
    <xf numFmtId="0" fontId="15" fillId="0" borderId="87" xfId="0" applyFont="1" applyFill="1" applyBorder="1" applyAlignment="1">
      <alignment horizontal="center" vertical="center" wrapText="1"/>
    </xf>
    <xf numFmtId="0" fontId="6" fillId="11" borderId="88" xfId="3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1" fillId="0" borderId="2" xfId="0" quotePrefix="1" applyFont="1" applyBorder="1" applyAlignment="1">
      <alignment horizontal="right" vertical="center"/>
    </xf>
    <xf numFmtId="0" fontId="1" fillId="0" borderId="78" xfId="0" applyFont="1" applyBorder="1" applyAlignment="1">
      <alignment vertical="center"/>
    </xf>
    <xf numFmtId="0" fontId="1" fillId="0" borderId="79" xfId="0" applyFont="1" applyBorder="1" applyAlignment="1">
      <alignment vertical="center"/>
    </xf>
    <xf numFmtId="0" fontId="0" fillId="0" borderId="79" xfId="0" applyFont="1" applyBorder="1"/>
    <xf numFmtId="0" fontId="0" fillId="0" borderId="79" xfId="0" applyFont="1" applyBorder="1" applyAlignment="1">
      <alignment vertical="center"/>
    </xf>
    <xf numFmtId="0" fontId="0" fillId="0" borderId="80" xfId="0" applyFont="1" applyBorder="1"/>
    <xf numFmtId="0" fontId="1" fillId="0" borderId="75" xfId="0" applyFont="1" applyBorder="1" applyAlignment="1">
      <alignment horizontal="center" vertical="center"/>
    </xf>
    <xf numFmtId="0" fontId="1" fillId="0" borderId="79" xfId="0" applyFont="1" applyFill="1" applyBorder="1" applyAlignment="1">
      <alignment horizontal="right" vertical="center"/>
    </xf>
    <xf numFmtId="0" fontId="1" fillId="0" borderId="76" xfId="0" applyFont="1" applyBorder="1" applyAlignment="1">
      <alignment vertical="center"/>
    </xf>
    <xf numFmtId="0" fontId="0" fillId="0" borderId="122" xfId="0" applyFont="1" applyBorder="1"/>
    <xf numFmtId="0" fontId="1" fillId="0" borderId="80" xfId="0" applyFont="1" applyFill="1" applyBorder="1" applyAlignment="1">
      <alignment horizontal="center" vertical="center"/>
    </xf>
    <xf numFmtId="0" fontId="15" fillId="0" borderId="110" xfId="0" applyFont="1" applyFill="1" applyBorder="1" applyAlignment="1"/>
    <xf numFmtId="165" fontId="11" fillId="12" borderId="88" xfId="3" quotePrefix="1" applyNumberFormat="1" applyFont="1" applyFill="1" applyBorder="1" applyAlignment="1">
      <alignment horizontal="right" vertical="center"/>
    </xf>
    <xf numFmtId="165" fontId="11" fillId="12" borderId="88" xfId="3" quotePrefix="1" applyNumberFormat="1" applyFont="1" applyFill="1" applyBorder="1" applyAlignment="1">
      <alignment horizontal="center" vertical="center"/>
    </xf>
    <xf numFmtId="165" fontId="11" fillId="12" borderId="89" xfId="3" quotePrefix="1" applyNumberFormat="1" applyFont="1" applyFill="1" applyBorder="1" applyAlignment="1">
      <alignment horizontal="center" vertical="center"/>
    </xf>
    <xf numFmtId="164" fontId="44" fillId="12" borderId="126" xfId="1" applyNumberFormat="1" applyFont="1" applyFill="1" applyBorder="1" applyAlignment="1">
      <alignment horizontal="right" vertical="center" wrapText="1"/>
    </xf>
    <xf numFmtId="0" fontId="6" fillId="12" borderId="4" xfId="3" applyFont="1" applyFill="1" applyBorder="1" applyAlignment="1">
      <alignment horizontal="right" vertical="center" wrapText="1"/>
    </xf>
    <xf numFmtId="0" fontId="6" fillId="12" borderId="94" xfId="3" applyFont="1" applyFill="1" applyBorder="1" applyAlignment="1">
      <alignment horizontal="right" vertical="center" wrapText="1"/>
    </xf>
    <xf numFmtId="0" fontId="6" fillId="12" borderId="92" xfId="0" applyFont="1" applyFill="1" applyBorder="1"/>
    <xf numFmtId="0" fontId="6" fillId="12" borderId="96" xfId="0" applyFont="1" applyFill="1" applyBorder="1"/>
    <xf numFmtId="0" fontId="0" fillId="0" borderId="0" xfId="0" applyFont="1" applyAlignment="1">
      <alignment horizontal="center"/>
    </xf>
    <xf numFmtId="0" fontId="0" fillId="12" borderId="92" xfId="0" applyFont="1" applyFill="1" applyBorder="1"/>
    <xf numFmtId="0" fontId="0" fillId="12" borderId="96" xfId="0" applyFont="1" applyFill="1" applyBorder="1"/>
    <xf numFmtId="0" fontId="0" fillId="0" borderId="79" xfId="0" applyFont="1" applyBorder="1" applyAlignment="1">
      <alignment horizontal="left"/>
    </xf>
    <xf numFmtId="0" fontId="6" fillId="12" borderId="84" xfId="3" applyFont="1" applyFill="1" applyBorder="1" applyAlignment="1">
      <alignment horizontal="right" vertical="center" wrapText="1"/>
    </xf>
    <xf numFmtId="0" fontId="15" fillId="0" borderId="104" xfId="0" applyFont="1" applyFill="1" applyBorder="1" applyAlignment="1"/>
    <xf numFmtId="0" fontId="15" fillId="0" borderId="134" xfId="0" applyFont="1" applyFill="1" applyBorder="1" applyAlignment="1"/>
    <xf numFmtId="0" fontId="15" fillId="0" borderId="135" xfId="0" applyFont="1" applyFill="1" applyBorder="1" applyAlignment="1"/>
    <xf numFmtId="0" fontId="6" fillId="12" borderId="133" xfId="3" applyFont="1" applyFill="1" applyBorder="1" applyAlignment="1">
      <alignment horizontal="right" vertical="center" wrapText="1"/>
    </xf>
    <xf numFmtId="0" fontId="6" fillId="14" borderId="84" xfId="0" applyFont="1" applyFill="1" applyBorder="1" applyAlignment="1">
      <alignment horizontal="right" vertical="center" wrapText="1"/>
    </xf>
    <xf numFmtId="0" fontId="6" fillId="14" borderId="97" xfId="0" applyFont="1" applyFill="1" applyBorder="1" applyAlignment="1">
      <alignment horizontal="left" vertical="center" wrapText="1"/>
    </xf>
    <xf numFmtId="0" fontId="6" fillId="14" borderId="98" xfId="0" applyFont="1" applyFill="1" applyBorder="1" applyAlignment="1">
      <alignment horizontal="left" vertical="center" wrapText="1"/>
    </xf>
    <xf numFmtId="0" fontId="6" fillId="14" borderId="84" xfId="0" applyFont="1" applyFill="1" applyBorder="1" applyAlignment="1"/>
    <xf numFmtId="0" fontId="6" fillId="14" borderId="97" xfId="0" applyFont="1" applyFill="1" applyBorder="1" applyAlignment="1"/>
    <xf numFmtId="0" fontId="6" fillId="14" borderId="105" xfId="0" applyFont="1" applyFill="1" applyBorder="1" applyAlignment="1"/>
    <xf numFmtId="0" fontId="6" fillId="14" borderId="115" xfId="0" applyFont="1" applyFill="1" applyBorder="1" applyAlignment="1"/>
    <xf numFmtId="0" fontId="6" fillId="14" borderId="104" xfId="0" applyFont="1" applyFill="1" applyBorder="1" applyAlignment="1"/>
    <xf numFmtId="0" fontId="6" fillId="14" borderId="84" xfId="0" applyFont="1" applyFill="1" applyBorder="1" applyAlignment="1">
      <alignment horizontal="left"/>
    </xf>
    <xf numFmtId="0" fontId="6" fillId="11" borderId="95" xfId="0" applyFont="1" applyFill="1" applyBorder="1" applyAlignment="1">
      <alignment horizontal="left" vertical="center" wrapText="1"/>
    </xf>
    <xf numFmtId="164" fontId="6" fillId="12" borderId="4" xfId="1" applyNumberFormat="1" applyFont="1" applyFill="1" applyBorder="1" applyAlignment="1">
      <alignment horizontal="right" vertical="center" wrapText="1"/>
    </xf>
    <xf numFmtId="167" fontId="6" fillId="12" borderId="4" xfId="3" applyNumberFormat="1" applyFont="1" applyFill="1" applyBorder="1" applyAlignment="1">
      <alignment horizontal="right" vertical="center" wrapText="1"/>
    </xf>
    <xf numFmtId="167" fontId="6" fillId="12" borderId="94" xfId="3" applyNumberFormat="1" applyFont="1" applyFill="1" applyBorder="1" applyAlignment="1">
      <alignment horizontal="right" vertical="center" wrapText="1"/>
    </xf>
    <xf numFmtId="0" fontId="5" fillId="8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/>
    </xf>
    <xf numFmtId="167" fontId="5" fillId="0" borderId="2" xfId="0" applyNumberFormat="1" applyFont="1" applyFill="1" applyBorder="1" applyAlignment="1">
      <alignment horizontal="right" vertical="center"/>
    </xf>
    <xf numFmtId="168" fontId="5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171" fontId="5" fillId="0" borderId="2" xfId="0" applyNumberFormat="1" applyFont="1" applyFill="1" applyBorder="1" applyAlignment="1">
      <alignment horizontal="right" vertical="center"/>
    </xf>
    <xf numFmtId="172" fontId="5" fillId="0" borderId="2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65" fontId="11" fillId="0" borderId="0" xfId="3" quotePrefix="1" applyNumberFormat="1" applyFont="1" applyFill="1" applyBorder="1" applyAlignment="1">
      <alignment horizontal="right" vertical="center"/>
    </xf>
    <xf numFmtId="165" fontId="11" fillId="0" borderId="0" xfId="3" quotePrefix="1" applyNumberFormat="1" applyFont="1" applyFill="1" applyBorder="1" applyAlignment="1">
      <alignment horizontal="center" vertical="center"/>
    </xf>
    <xf numFmtId="0" fontId="7" fillId="11" borderId="9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11" borderId="1" xfId="1" applyNumberFormat="1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vertical="center"/>
    </xf>
    <xf numFmtId="164" fontId="6" fillId="11" borderId="1" xfId="0" applyNumberFormat="1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 wrapText="1"/>
    </xf>
    <xf numFmtId="1" fontId="6" fillId="0" borderId="12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140" xfId="0" applyFont="1" applyFill="1" applyBorder="1" applyAlignment="1">
      <alignment horizontal="center" vertical="center" wrapText="1"/>
    </xf>
    <xf numFmtId="0" fontId="6" fillId="0" borderId="86" xfId="0" applyFont="1" applyFill="1" applyBorder="1" applyAlignment="1">
      <alignment horizontal="center" vertical="center"/>
    </xf>
    <xf numFmtId="0" fontId="6" fillId="11" borderId="92" xfId="0" applyFont="1" applyFill="1" applyBorder="1" applyAlignment="1">
      <alignment vertical="center"/>
    </xf>
    <xf numFmtId="0" fontId="6" fillId="0" borderId="87" xfId="0" applyFont="1" applyFill="1" applyBorder="1" applyAlignment="1">
      <alignment horizontal="center" vertical="center"/>
    </xf>
    <xf numFmtId="164" fontId="6" fillId="11" borderId="130" xfId="1" applyNumberFormat="1" applyFont="1" applyFill="1" applyBorder="1" applyAlignment="1">
      <alignment horizontal="center" vertical="center"/>
    </xf>
    <xf numFmtId="0" fontId="6" fillId="11" borderId="130" xfId="0" applyFont="1" applyFill="1" applyBorder="1" applyAlignment="1">
      <alignment vertical="center"/>
    </xf>
    <xf numFmtId="0" fontId="6" fillId="0" borderId="88" xfId="0" applyFont="1" applyFill="1" applyBorder="1" applyAlignment="1">
      <alignment horizontal="center" vertical="center"/>
    </xf>
    <xf numFmtId="164" fontId="6" fillId="11" borderId="130" xfId="0" applyNumberFormat="1" applyFont="1" applyFill="1" applyBorder="1" applyAlignment="1">
      <alignment horizontal="center" vertical="center"/>
    </xf>
    <xf numFmtId="0" fontId="6" fillId="11" borderId="96" xfId="0" applyFont="1" applyFill="1" applyBorder="1" applyAlignment="1">
      <alignment vertical="center"/>
    </xf>
    <xf numFmtId="166" fontId="6" fillId="11" borderId="63" xfId="0" applyNumberFormat="1" applyFont="1" applyFill="1" applyBorder="1" applyAlignment="1">
      <alignment horizontal="center" vertical="center"/>
    </xf>
    <xf numFmtId="166" fontId="6" fillId="11" borderId="69" xfId="0" applyNumberFormat="1" applyFont="1" applyFill="1" applyBorder="1" applyAlignment="1">
      <alignment horizontal="center" vertical="center"/>
    </xf>
    <xf numFmtId="166" fontId="6" fillId="0" borderId="64" xfId="0" quotePrefix="1" applyNumberFormat="1" applyFont="1" applyFill="1" applyBorder="1" applyAlignment="1">
      <alignment horizontal="center" vertical="center"/>
    </xf>
    <xf numFmtId="166" fontId="6" fillId="0" borderId="64" xfId="0" applyNumberFormat="1" applyFont="1" applyFill="1" applyBorder="1" applyAlignment="1">
      <alignment horizontal="center" vertical="center"/>
    </xf>
    <xf numFmtId="166" fontId="6" fillId="0" borderId="73" xfId="0" applyNumberFormat="1" applyFont="1" applyFill="1" applyBorder="1" applyAlignment="1">
      <alignment horizontal="center" vertical="center" wrapText="1"/>
    </xf>
    <xf numFmtId="166" fontId="6" fillId="0" borderId="12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166" fontId="6" fillId="0" borderId="74" xfId="0" applyNumberFormat="1" applyFont="1" applyFill="1" applyBorder="1" applyAlignment="1">
      <alignment horizontal="center" vertical="center" wrapText="1"/>
    </xf>
    <xf numFmtId="166" fontId="15" fillId="0" borderId="84" xfId="0" applyNumberFormat="1" applyFont="1" applyFill="1" applyBorder="1" applyAlignment="1">
      <alignment horizontal="left" vertical="center"/>
    </xf>
    <xf numFmtId="166" fontId="15" fillId="0" borderId="105" xfId="0" applyNumberFormat="1" applyFont="1" applyFill="1" applyBorder="1" applyAlignment="1">
      <alignment horizontal="left" vertical="center"/>
    </xf>
    <xf numFmtId="166" fontId="6" fillId="0" borderId="67" xfId="0" applyNumberFormat="1" applyFont="1" applyFill="1" applyBorder="1" applyAlignment="1">
      <alignment horizontal="center" vertical="center"/>
    </xf>
    <xf numFmtId="166" fontId="6" fillId="0" borderId="67" xfId="0" quotePrefix="1" applyNumberFormat="1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 wrapText="1"/>
    </xf>
    <xf numFmtId="2" fontId="6" fillId="14" borderId="84" xfId="0" applyNumberFormat="1" applyFont="1" applyFill="1" applyBorder="1" applyAlignment="1">
      <alignment horizontal="right" vertical="center" wrapText="1"/>
    </xf>
    <xf numFmtId="166" fontId="6" fillId="14" borderId="84" xfId="0" applyNumberFormat="1" applyFont="1" applyFill="1" applyBorder="1" applyAlignment="1">
      <alignment horizontal="right" vertical="center" wrapText="1"/>
    </xf>
    <xf numFmtId="166" fontId="6" fillId="14" borderId="133" xfId="0" applyNumberFormat="1" applyFont="1" applyFill="1" applyBorder="1" applyAlignment="1">
      <alignment horizontal="right" vertical="center" wrapText="1"/>
    </xf>
    <xf numFmtId="173" fontId="6" fillId="11" borderId="4" xfId="0" applyNumberFormat="1" applyFont="1" applyFill="1" applyBorder="1" applyAlignment="1">
      <alignment horizontal="right" vertical="center" wrapText="1"/>
    </xf>
    <xf numFmtId="173" fontId="6" fillId="11" borderId="5" xfId="0" applyNumberFormat="1" applyFont="1" applyFill="1" applyBorder="1" applyAlignment="1">
      <alignment horizontal="left" vertical="center" wrapText="1"/>
    </xf>
    <xf numFmtId="173" fontId="6" fillId="11" borderId="94" xfId="0" applyNumberFormat="1" applyFont="1" applyFill="1" applyBorder="1" applyAlignment="1">
      <alignment horizontal="right" vertical="center" wrapText="1"/>
    </xf>
    <xf numFmtId="173" fontId="6" fillId="11" borderId="95" xfId="0" applyNumberFormat="1" applyFont="1" applyFill="1" applyBorder="1" applyAlignment="1">
      <alignment horizontal="left" vertical="center" wrapText="1"/>
    </xf>
    <xf numFmtId="173" fontId="6" fillId="11" borderId="92" xfId="0" applyNumberFormat="1" applyFont="1" applyFill="1" applyBorder="1" applyAlignment="1">
      <alignment horizontal="left" vertical="center" wrapText="1"/>
    </xf>
    <xf numFmtId="173" fontId="6" fillId="11" borderId="96" xfId="0" applyNumberFormat="1" applyFont="1" applyFill="1" applyBorder="1" applyAlignment="1">
      <alignment horizontal="left" vertical="center" wrapText="1"/>
    </xf>
    <xf numFmtId="173" fontId="6" fillId="11" borderId="112" xfId="0" applyNumberFormat="1" applyFont="1" applyFill="1" applyBorder="1" applyAlignment="1">
      <alignment horizontal="left" vertical="center" wrapText="1"/>
    </xf>
    <xf numFmtId="173" fontId="6" fillId="11" borderId="113" xfId="0" applyNumberFormat="1" applyFont="1" applyFill="1" applyBorder="1" applyAlignment="1">
      <alignment horizontal="right" vertical="center" wrapText="1"/>
    </xf>
    <xf numFmtId="173" fontId="6" fillId="11" borderId="114" xfId="0" applyNumberFormat="1" applyFont="1" applyFill="1" applyBorder="1" applyAlignment="1">
      <alignment horizontal="right" vertical="center" wrapText="1"/>
    </xf>
    <xf numFmtId="173" fontId="6" fillId="11" borderId="128" xfId="0" applyNumberFormat="1" applyFont="1" applyFill="1" applyBorder="1" applyAlignment="1">
      <alignment horizontal="left" vertical="center" wrapText="1"/>
    </xf>
    <xf numFmtId="173" fontId="6" fillId="11" borderId="4" xfId="0" applyNumberFormat="1" applyFont="1" applyFill="1" applyBorder="1" applyAlignment="1">
      <alignment horizontal="center" vertical="center" wrapText="1"/>
    </xf>
    <xf numFmtId="173" fontId="6" fillId="11" borderId="113" xfId="0" applyNumberFormat="1" applyFont="1" applyFill="1" applyBorder="1" applyAlignment="1">
      <alignment horizontal="center" vertical="center" wrapText="1"/>
    </xf>
    <xf numFmtId="173" fontId="6" fillId="11" borderId="4" xfId="3" applyNumberFormat="1" applyFont="1" applyFill="1" applyBorder="1" applyAlignment="1">
      <alignment horizontal="right" vertical="center" wrapText="1"/>
    </xf>
    <xf numFmtId="173" fontId="6" fillId="11" borderId="112" xfId="0" applyNumberFormat="1" applyFont="1" applyFill="1" applyBorder="1" applyAlignment="1">
      <alignment vertical="center"/>
    </xf>
    <xf numFmtId="174" fontId="6" fillId="11" borderId="114" xfId="3" applyNumberFormat="1" applyFont="1" applyFill="1" applyBorder="1" applyAlignment="1">
      <alignment horizontal="right" vertical="center" wrapText="1"/>
    </xf>
    <xf numFmtId="175" fontId="6" fillId="11" borderId="100" xfId="3" applyNumberFormat="1" applyFont="1" applyFill="1" applyBorder="1" applyAlignment="1">
      <alignment horizontal="right" vertical="center" wrapText="1"/>
    </xf>
    <xf numFmtId="175" fontId="6" fillId="11" borderId="4" xfId="3" applyNumberFormat="1" applyFont="1" applyFill="1" applyBorder="1" applyAlignment="1">
      <alignment horizontal="right" vertical="center" wrapText="1"/>
    </xf>
    <xf numFmtId="176" fontId="6" fillId="11" borderId="4" xfId="3" applyNumberFormat="1" applyFont="1" applyFill="1" applyBorder="1" applyAlignment="1">
      <alignment horizontal="right" vertical="center" wrapText="1"/>
    </xf>
    <xf numFmtId="175" fontId="6" fillId="11" borderId="4" xfId="0" applyNumberFormat="1" applyFont="1" applyFill="1" applyBorder="1" applyAlignment="1">
      <alignment horizontal="right" vertical="center" wrapText="1"/>
    </xf>
    <xf numFmtId="176" fontId="6" fillId="11" borderId="4" xfId="0" applyNumberFormat="1" applyFont="1" applyFill="1" applyBorder="1" applyAlignment="1">
      <alignment horizontal="right" vertical="center" wrapText="1"/>
    </xf>
    <xf numFmtId="175" fontId="6" fillId="11" borderId="1" xfId="0" applyNumberFormat="1" applyFont="1" applyFill="1" applyBorder="1" applyAlignment="1">
      <alignment horizontal="right" vertical="center" wrapText="1"/>
    </xf>
    <xf numFmtId="175" fontId="6" fillId="11" borderId="130" xfId="0" applyNumberFormat="1" applyFont="1" applyFill="1" applyBorder="1" applyAlignment="1">
      <alignment horizontal="right" vertical="center" wrapText="1"/>
    </xf>
    <xf numFmtId="173" fontId="6" fillId="11" borderId="5" xfId="0" applyNumberFormat="1" applyFont="1" applyFill="1" applyBorder="1" applyAlignment="1">
      <alignment vertical="center"/>
    </xf>
    <xf numFmtId="173" fontId="6" fillId="11" borderId="94" xfId="3" applyNumberFormat="1" applyFont="1" applyFill="1" applyBorder="1" applyAlignment="1">
      <alignment horizontal="right" vertical="center" wrapText="1"/>
    </xf>
    <xf numFmtId="173" fontId="6" fillId="11" borderId="95" xfId="0" applyNumberFormat="1" applyFont="1" applyFill="1" applyBorder="1" applyAlignment="1">
      <alignment vertical="center"/>
    </xf>
    <xf numFmtId="173" fontId="6" fillId="11" borderId="92" xfId="0" applyNumberFormat="1" applyFont="1" applyFill="1" applyBorder="1" applyAlignment="1">
      <alignment vertical="center"/>
    </xf>
    <xf numFmtId="173" fontId="6" fillId="11" borderId="96" xfId="0" applyNumberFormat="1" applyFont="1" applyFill="1" applyBorder="1" applyAlignment="1">
      <alignment vertical="center"/>
    </xf>
    <xf numFmtId="177" fontId="6" fillId="11" borderId="4" xfId="3" applyNumberFormat="1" applyFont="1" applyFill="1" applyBorder="1" applyAlignment="1">
      <alignment horizontal="right" vertical="center" wrapText="1"/>
    </xf>
    <xf numFmtId="174" fontId="6" fillId="11" borderId="94" xfId="3" applyNumberFormat="1" applyFont="1" applyFill="1" applyBorder="1" applyAlignment="1">
      <alignment horizontal="right" vertical="center" wrapText="1"/>
    </xf>
    <xf numFmtId="173" fontId="6" fillId="11" borderId="6" xfId="0" applyNumberFormat="1" applyFont="1" applyFill="1" applyBorder="1" applyAlignment="1">
      <alignment vertical="center"/>
    </xf>
    <xf numFmtId="173" fontId="6" fillId="11" borderId="8" xfId="0" applyNumberFormat="1" applyFont="1" applyFill="1" applyBorder="1" applyAlignment="1">
      <alignment vertical="center"/>
    </xf>
    <xf numFmtId="173" fontId="6" fillId="11" borderId="14" xfId="0" applyNumberFormat="1" applyFont="1" applyFill="1" applyBorder="1" applyAlignment="1">
      <alignment vertical="center"/>
    </xf>
    <xf numFmtId="173" fontId="6" fillId="11" borderId="10" xfId="0" applyNumberFormat="1" applyFont="1" applyFill="1" applyBorder="1" applyAlignment="1">
      <alignment vertical="center"/>
    </xf>
    <xf numFmtId="173" fontId="6" fillId="11" borderId="11" xfId="0" applyNumberFormat="1" applyFont="1" applyFill="1" applyBorder="1" applyAlignment="1">
      <alignment vertical="center"/>
    </xf>
    <xf numFmtId="173" fontId="6" fillId="11" borderId="12" xfId="0" applyNumberFormat="1" applyFont="1" applyFill="1" applyBorder="1" applyAlignment="1">
      <alignment vertical="center"/>
    </xf>
    <xf numFmtId="173" fontId="6" fillId="11" borderId="12" xfId="0" applyNumberFormat="1" applyFont="1" applyFill="1" applyBorder="1" applyAlignment="1">
      <alignment horizontal="left" vertical="center"/>
    </xf>
    <xf numFmtId="173" fontId="6" fillId="11" borderId="94" xfId="0" applyNumberFormat="1" applyFont="1" applyFill="1" applyBorder="1" applyAlignment="1">
      <alignment horizontal="left" vertical="center"/>
    </xf>
    <xf numFmtId="173" fontId="6" fillId="11" borderId="95" xfId="0" applyNumberFormat="1" applyFont="1" applyFill="1" applyBorder="1" applyAlignment="1">
      <alignment horizontal="left" vertical="center"/>
    </xf>
    <xf numFmtId="173" fontId="6" fillId="11" borderId="99" xfId="0" applyNumberFormat="1" applyFont="1" applyFill="1" applyBorder="1" applyAlignment="1">
      <alignment vertical="center"/>
    </xf>
    <xf numFmtId="173" fontId="6" fillId="11" borderId="129" xfId="0" applyNumberFormat="1" applyFont="1" applyFill="1" applyBorder="1" applyAlignment="1">
      <alignment vertical="center"/>
    </xf>
    <xf numFmtId="173" fontId="6" fillId="11" borderId="128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11" borderId="2" xfId="0" applyFont="1" applyFill="1" applyBorder="1" applyAlignment="1">
      <alignment vertical="center"/>
    </xf>
    <xf numFmtId="0" fontId="6" fillId="11" borderId="88" xfId="0" applyFont="1" applyFill="1" applyBorder="1" applyAlignment="1">
      <alignment vertical="center"/>
    </xf>
    <xf numFmtId="0" fontId="6" fillId="0" borderId="125" xfId="0" applyFont="1" applyFill="1" applyBorder="1" applyAlignment="1">
      <alignment horizontal="left" vertical="center"/>
    </xf>
    <xf numFmtId="0" fontId="6" fillId="0" borderId="125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138" xfId="0" applyFont="1" applyBorder="1" applyAlignment="1">
      <alignment horizontal="right" vertical="center"/>
    </xf>
    <xf numFmtId="164" fontId="6" fillId="11" borderId="139" xfId="1" applyNumberFormat="1" applyFont="1" applyFill="1" applyBorder="1" applyAlignment="1">
      <alignment vertical="center"/>
    </xf>
    <xf numFmtId="0" fontId="6" fillId="11" borderId="120" xfId="0" applyFont="1" applyFill="1" applyBorder="1" applyAlignment="1">
      <alignment vertical="center"/>
    </xf>
    <xf numFmtId="164" fontId="6" fillId="11" borderId="139" xfId="0" applyNumberFormat="1" applyFont="1" applyFill="1" applyBorder="1" applyAlignment="1">
      <alignment vertical="center"/>
    </xf>
    <xf numFmtId="0" fontId="6" fillId="11" borderId="137" xfId="0" applyFont="1" applyFill="1" applyBorder="1" applyAlignment="1">
      <alignment vertical="center"/>
    </xf>
    <xf numFmtId="1" fontId="6" fillId="11" borderId="9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0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116" xfId="0" applyFont="1" applyFill="1" applyBorder="1" applyAlignment="1">
      <alignment vertical="center"/>
    </xf>
    <xf numFmtId="0" fontId="6" fillId="0" borderId="10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0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18" xfId="0" applyFont="1" applyFill="1" applyBorder="1" applyAlignment="1">
      <alignment vertical="center"/>
    </xf>
    <xf numFmtId="0" fontId="6" fillId="11" borderId="63" xfId="0" applyFont="1" applyFill="1" applyBorder="1" applyAlignment="1">
      <alignment vertical="center"/>
    </xf>
    <xf numFmtId="0" fontId="6" fillId="11" borderId="91" xfId="0" applyFont="1" applyFill="1" applyBorder="1" applyAlignment="1">
      <alignment vertical="center"/>
    </xf>
    <xf numFmtId="0" fontId="15" fillId="0" borderId="123" xfId="0" applyFont="1" applyBorder="1" applyAlignment="1">
      <alignment horizontal="left" vertical="center"/>
    </xf>
    <xf numFmtId="167" fontId="6" fillId="11" borderId="4" xfId="3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66" fontId="6" fillId="0" borderId="65" xfId="0" applyNumberFormat="1" applyFont="1" applyFill="1" applyBorder="1" applyAlignment="1">
      <alignment horizontal="center" vertical="center" wrapText="1"/>
    </xf>
    <xf numFmtId="166" fontId="6" fillId="0" borderId="9" xfId="0" applyNumberFormat="1" applyFont="1" applyFill="1" applyBorder="1" applyAlignment="1">
      <alignment horizontal="center" vertical="center" wrapText="1"/>
    </xf>
    <xf numFmtId="166" fontId="6" fillId="0" borderId="16" xfId="0" applyNumberFormat="1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107" xfId="0" applyFont="1" applyFill="1" applyBorder="1" applyAlignment="1">
      <alignment horizontal="center" vertical="center" wrapText="1"/>
    </xf>
    <xf numFmtId="166" fontId="6" fillId="0" borderId="107" xfId="0" applyNumberFormat="1" applyFont="1" applyFill="1" applyBorder="1" applyAlignment="1">
      <alignment horizontal="center" vertical="center" wrapText="1"/>
    </xf>
    <xf numFmtId="166" fontId="15" fillId="0" borderId="145" xfId="0" applyNumberFormat="1" applyFont="1" applyFill="1" applyBorder="1" applyAlignment="1">
      <alignment horizontal="left" vertical="center"/>
    </xf>
    <xf numFmtId="166" fontId="15" fillId="0" borderId="146" xfId="0" applyNumberFormat="1" applyFont="1" applyFill="1" applyBorder="1" applyAlignment="1">
      <alignment horizontal="left" vertical="center"/>
    </xf>
    <xf numFmtId="166" fontId="6" fillId="11" borderId="130" xfId="0" applyNumberFormat="1" applyFont="1" applyFill="1" applyBorder="1" applyAlignment="1">
      <alignment horizontal="right" vertical="center" wrapText="1"/>
    </xf>
    <xf numFmtId="174" fontId="6" fillId="11" borderId="4" xfId="0" applyNumberFormat="1" applyFont="1" applyFill="1" applyBorder="1" applyAlignment="1">
      <alignment horizontal="right" vertical="center" wrapText="1"/>
    </xf>
    <xf numFmtId="0" fontId="6" fillId="14" borderId="105" xfId="0" applyFont="1" applyFill="1" applyBorder="1" applyAlignment="1">
      <alignment horizontal="left"/>
    </xf>
    <xf numFmtId="174" fontId="6" fillId="11" borderId="100" xfId="3" applyNumberFormat="1" applyFont="1" applyFill="1" applyBorder="1" applyAlignment="1">
      <alignment horizontal="right" vertical="center" wrapText="1"/>
    </xf>
    <xf numFmtId="174" fontId="6" fillId="11" borderId="4" xfId="3" applyNumberFormat="1" applyFont="1" applyFill="1" applyBorder="1" applyAlignment="1">
      <alignment horizontal="right" vertical="center" wrapText="1"/>
    </xf>
    <xf numFmtId="173" fontId="6" fillId="11" borderId="114" xfId="3" applyNumberFormat="1" applyFont="1" applyFill="1" applyBorder="1" applyAlignment="1">
      <alignment horizontal="right" vertical="center" wrapText="1"/>
    </xf>
    <xf numFmtId="165" fontId="6" fillId="12" borderId="104" xfId="3" applyNumberFormat="1" applyFont="1" applyFill="1" applyBorder="1" applyAlignment="1">
      <alignment horizontal="right" vertical="center" wrapText="1"/>
    </xf>
    <xf numFmtId="165" fontId="6" fillId="12" borderId="84" xfId="3" applyNumberFormat="1" applyFont="1" applyFill="1" applyBorder="1" applyAlignment="1">
      <alignment horizontal="right" vertical="center" wrapText="1"/>
    </xf>
    <xf numFmtId="166" fontId="6" fillId="0" borderId="0" xfId="0" applyNumberFormat="1" applyFont="1"/>
    <xf numFmtId="0" fontId="6" fillId="0" borderId="1" xfId="0" applyFont="1" applyFill="1" applyBorder="1" applyAlignment="1">
      <alignment horizontal="right"/>
    </xf>
    <xf numFmtId="167" fontId="6" fillId="11" borderId="88" xfId="3" applyNumberFormat="1" applyFont="1" applyFill="1" applyBorder="1" applyAlignment="1">
      <alignment horizontal="right" vertical="center" wrapText="1"/>
    </xf>
    <xf numFmtId="0" fontId="6" fillId="14" borderId="107" xfId="0" applyFont="1" applyFill="1" applyBorder="1" applyAlignment="1"/>
    <xf numFmtId="0" fontId="6" fillId="0" borderId="84" xfId="0" applyFont="1" applyFill="1" applyBorder="1" applyAlignment="1">
      <alignment horizontal="right"/>
    </xf>
    <xf numFmtId="0" fontId="6" fillId="12" borderId="107" xfId="0" applyFont="1" applyFill="1" applyBorder="1"/>
    <xf numFmtId="0" fontId="6" fillId="12" borderId="97" xfId="0" applyFont="1" applyFill="1" applyBorder="1"/>
    <xf numFmtId="0" fontId="6" fillId="12" borderId="98" xfId="0" applyFont="1" applyFill="1" applyBorder="1"/>
    <xf numFmtId="0" fontId="15" fillId="0" borderId="107" xfId="0" applyFont="1" applyFill="1" applyBorder="1" applyAlignment="1"/>
    <xf numFmtId="1" fontId="6" fillId="14" borderId="105" xfId="0" applyNumberFormat="1" applyFont="1" applyFill="1" applyBorder="1" applyAlignment="1">
      <alignment horizontal="right" vertical="center" wrapText="1"/>
    </xf>
    <xf numFmtId="0" fontId="6" fillId="14" borderId="115" xfId="0" applyFont="1" applyFill="1" applyBorder="1" applyAlignment="1">
      <alignment horizontal="left" vertical="center" wrapText="1"/>
    </xf>
    <xf numFmtId="0" fontId="6" fillId="11" borderId="11" xfId="0" applyNumberFormat="1" applyFont="1" applyFill="1" applyBorder="1" applyAlignment="1">
      <alignment horizontal="left" vertical="center"/>
    </xf>
    <xf numFmtId="0" fontId="6" fillId="0" borderId="0" xfId="0" applyNumberFormat="1" applyFont="1" applyBorder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77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0" fillId="12" borderId="2" xfId="0" applyFont="1" applyFill="1" applyBorder="1" applyAlignment="1">
      <alignment horizontal="center" vertical="center"/>
    </xf>
    <xf numFmtId="0" fontId="0" fillId="12" borderId="75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0" fillId="12" borderId="4" xfId="0" applyFont="1" applyFill="1" applyBorder="1" applyAlignment="1">
      <alignment horizontal="center" vertical="center"/>
    </xf>
    <xf numFmtId="0" fontId="0" fillId="12" borderId="92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right"/>
    </xf>
    <xf numFmtId="0" fontId="6" fillId="0" borderId="99" xfId="0" applyFont="1" applyFill="1" applyBorder="1" applyAlignment="1">
      <alignment horizontal="right"/>
    </xf>
    <xf numFmtId="0" fontId="6" fillId="12" borderId="62" xfId="0" applyFont="1" applyFill="1" applyBorder="1" applyAlignment="1">
      <alignment horizontal="center"/>
    </xf>
    <xf numFmtId="0" fontId="6" fillId="12" borderId="136" xfId="0" applyFont="1" applyFill="1" applyBorder="1" applyAlignment="1">
      <alignment horizontal="center"/>
    </xf>
    <xf numFmtId="0" fontId="0" fillId="0" borderId="77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93" xfId="0" applyFont="1" applyBorder="1" applyAlignment="1">
      <alignment horizontal="right" vertical="center"/>
    </xf>
    <xf numFmtId="0" fontId="0" fillId="0" borderId="95" xfId="0" applyFont="1" applyBorder="1" applyAlignment="1">
      <alignment horizontal="right" vertical="center"/>
    </xf>
    <xf numFmtId="0" fontId="12" fillId="0" borderId="77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1" fillId="0" borderId="77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93" xfId="0" applyFont="1" applyBorder="1" applyAlignment="1">
      <alignment horizontal="right" vertical="center" wrapText="1"/>
    </xf>
    <xf numFmtId="0" fontId="1" fillId="0" borderId="95" xfId="0" applyFont="1" applyBorder="1" applyAlignment="1">
      <alignment horizontal="right" vertical="center" wrapText="1"/>
    </xf>
    <xf numFmtId="0" fontId="1" fillId="0" borderId="132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5" fillId="0" borderId="59" xfId="0" applyFont="1" applyFill="1" applyBorder="1" applyAlignment="1">
      <alignment horizontal="left"/>
    </xf>
    <xf numFmtId="0" fontId="15" fillId="0" borderId="149" xfId="0" applyFont="1" applyFill="1" applyBorder="1" applyAlignment="1">
      <alignment horizontal="left"/>
    </xf>
    <xf numFmtId="0" fontId="6" fillId="0" borderId="142" xfId="0" applyFont="1" applyFill="1" applyBorder="1" applyAlignment="1">
      <alignment horizontal="right"/>
    </xf>
    <xf numFmtId="0" fontId="6" fillId="0" borderId="71" xfId="0" applyFont="1" applyFill="1" applyBorder="1" applyAlignment="1">
      <alignment horizontal="right"/>
    </xf>
    <xf numFmtId="0" fontId="6" fillId="0" borderId="104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84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84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93" xfId="0" applyFont="1" applyFill="1" applyBorder="1" applyAlignment="1">
      <alignment horizontal="right"/>
    </xf>
    <xf numFmtId="0" fontId="6" fillId="0" borderId="95" xfId="0" applyFont="1" applyFill="1" applyBorder="1" applyAlignment="1">
      <alignment horizontal="right"/>
    </xf>
    <xf numFmtId="0" fontId="6" fillId="12" borderId="88" xfId="0" applyFont="1" applyFill="1" applyBorder="1" applyAlignment="1">
      <alignment horizontal="center"/>
    </xf>
    <xf numFmtId="0" fontId="6" fillId="12" borderId="89" xfId="0" applyFont="1" applyFill="1" applyBorder="1" applyAlignment="1">
      <alignment horizontal="center"/>
    </xf>
    <xf numFmtId="0" fontId="6" fillId="0" borderId="93" xfId="0" applyFont="1" applyFill="1" applyBorder="1" applyAlignment="1">
      <alignment horizontal="right" vertical="center"/>
    </xf>
    <xf numFmtId="0" fontId="6" fillId="0" borderId="95" xfId="0" applyFont="1" applyFill="1" applyBorder="1" applyAlignment="1">
      <alignment horizontal="right" vertical="center"/>
    </xf>
    <xf numFmtId="0" fontId="6" fillId="12" borderId="4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43" fillId="13" borderId="4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5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105" xfId="0" applyFont="1" applyFill="1" applyBorder="1" applyAlignment="1">
      <alignment horizontal="right"/>
    </xf>
    <xf numFmtId="0" fontId="6" fillId="0" borderId="114" xfId="0" applyFont="1" applyFill="1" applyBorder="1" applyAlignment="1">
      <alignment horizontal="right"/>
    </xf>
    <xf numFmtId="0" fontId="6" fillId="0" borderId="133" xfId="0" applyFont="1" applyFill="1" applyBorder="1" applyAlignment="1">
      <alignment horizontal="right" vertical="center"/>
    </xf>
    <xf numFmtId="0" fontId="6" fillId="0" borderId="130" xfId="0" applyFont="1" applyFill="1" applyBorder="1" applyAlignment="1">
      <alignment horizontal="right" vertical="center"/>
    </xf>
    <xf numFmtId="0" fontId="42" fillId="0" borderId="0" xfId="0" applyFont="1" applyAlignment="1">
      <alignment horizontal="center"/>
    </xf>
    <xf numFmtId="0" fontId="1" fillId="0" borderId="150" xfId="0" applyFont="1" applyFill="1" applyBorder="1" applyAlignment="1">
      <alignment horizontal="center"/>
    </xf>
    <xf numFmtId="0" fontId="0" fillId="0" borderId="132" xfId="0" applyFont="1" applyBorder="1" applyAlignment="1">
      <alignment horizontal="center" vertical="center"/>
    </xf>
    <xf numFmtId="0" fontId="15" fillId="0" borderId="77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93" xfId="0" applyFont="1" applyBorder="1" applyAlignment="1">
      <alignment horizontal="right" vertical="center"/>
    </xf>
    <xf numFmtId="0" fontId="15" fillId="0" borderId="95" xfId="0" applyFont="1" applyBorder="1" applyAlignment="1">
      <alignment horizontal="right" vertical="center"/>
    </xf>
    <xf numFmtId="14" fontId="6" fillId="12" borderId="2" xfId="0" applyNumberFormat="1" applyFont="1" applyFill="1" applyBorder="1" applyAlignment="1">
      <alignment horizontal="center"/>
    </xf>
    <xf numFmtId="14" fontId="6" fillId="12" borderId="75" xfId="0" applyNumberFormat="1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75" xfId="0" applyFont="1" applyFill="1" applyBorder="1" applyAlignment="1">
      <alignment horizontal="center"/>
    </xf>
    <xf numFmtId="0" fontId="6" fillId="12" borderId="92" xfId="0" applyFont="1" applyFill="1" applyBorder="1" applyAlignment="1">
      <alignment horizontal="center"/>
    </xf>
    <xf numFmtId="0" fontId="15" fillId="0" borderId="109" xfId="0" applyFont="1" applyFill="1" applyBorder="1" applyAlignment="1">
      <alignment horizontal="left"/>
    </xf>
    <xf numFmtId="0" fontId="15" fillId="0" borderId="110" xfId="0" applyFont="1" applyFill="1" applyBorder="1" applyAlignment="1">
      <alignment horizontal="left"/>
    </xf>
    <xf numFmtId="0" fontId="15" fillId="0" borderId="111" xfId="0" applyFont="1" applyFill="1" applyBorder="1" applyAlignment="1">
      <alignment horizontal="left"/>
    </xf>
    <xf numFmtId="0" fontId="15" fillId="0" borderId="78" xfId="0" applyFont="1" applyFill="1" applyBorder="1" applyAlignment="1"/>
    <xf numFmtId="0" fontId="15" fillId="0" borderId="79" xfId="0" applyFont="1" applyFill="1" applyBorder="1" applyAlignment="1"/>
    <xf numFmtId="0" fontId="15" fillId="0" borderId="80" xfId="0" applyFont="1" applyFill="1" applyBorder="1" applyAlignment="1"/>
    <xf numFmtId="0" fontId="0" fillId="0" borderId="79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2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6" fillId="0" borderId="108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1" fillId="0" borderId="78" xfId="0" applyFont="1" applyBorder="1" applyAlignment="1">
      <alignment horizontal="right" vertical="center"/>
    </xf>
    <xf numFmtId="0" fontId="1" fillId="0" borderId="121" xfId="0" applyFont="1" applyBorder="1" applyAlignment="1">
      <alignment horizontal="right" vertical="center"/>
    </xf>
    <xf numFmtId="0" fontId="1" fillId="0" borderId="76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81" xfId="0" applyFont="1" applyBorder="1" applyAlignment="1">
      <alignment horizontal="right" vertical="center"/>
    </xf>
    <xf numFmtId="0" fontId="1" fillId="0" borderId="124" xfId="0" applyFont="1" applyBorder="1" applyAlignment="1">
      <alignment horizontal="right" vertical="center"/>
    </xf>
    <xf numFmtId="0" fontId="6" fillId="0" borderId="133" xfId="0" applyFont="1" applyFill="1" applyBorder="1" applyAlignment="1">
      <alignment horizontal="center"/>
    </xf>
    <xf numFmtId="0" fontId="6" fillId="0" borderId="13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9" fillId="7" borderId="4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20" fillId="7" borderId="39" xfId="0" applyFont="1" applyFill="1" applyBorder="1" applyAlignment="1">
      <alignment horizontal="center" vertical="center" wrapText="1"/>
    </xf>
    <xf numFmtId="0" fontId="20" fillId="7" borderId="44" xfId="0" applyFont="1" applyFill="1" applyBorder="1" applyAlignment="1">
      <alignment horizontal="center" vertical="center" wrapText="1"/>
    </xf>
    <xf numFmtId="0" fontId="20" fillId="7" borderId="47" xfId="0" applyFont="1" applyFill="1" applyBorder="1" applyAlignment="1">
      <alignment horizontal="center" vertical="center" wrapText="1"/>
    </xf>
    <xf numFmtId="0" fontId="20" fillId="7" borderId="40" xfId="0" applyFont="1" applyFill="1" applyBorder="1" applyAlignment="1">
      <alignment horizontal="center" vertical="center" wrapText="1"/>
    </xf>
    <xf numFmtId="0" fontId="20" fillId="7" borderId="45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wrapText="1"/>
    </xf>
    <xf numFmtId="0" fontId="17" fillId="7" borderId="41" xfId="0" applyFont="1" applyFill="1" applyBorder="1" applyAlignment="1">
      <alignment horizontal="center"/>
    </xf>
    <xf numFmtId="0" fontId="17" fillId="7" borderId="42" xfId="0" applyFont="1" applyFill="1" applyBorder="1" applyAlignment="1">
      <alignment horizontal="center"/>
    </xf>
    <xf numFmtId="0" fontId="17" fillId="7" borderId="43" xfId="0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 wrapText="1"/>
    </xf>
    <xf numFmtId="0" fontId="20" fillId="7" borderId="47" xfId="0" applyFont="1" applyFill="1" applyBorder="1" applyAlignment="1">
      <alignment horizontal="center" wrapText="1"/>
    </xf>
    <xf numFmtId="0" fontId="20" fillId="7" borderId="46" xfId="0" applyFont="1" applyFill="1" applyBorder="1" applyAlignment="1">
      <alignment horizontal="center" wrapText="1"/>
    </xf>
    <xf numFmtId="0" fontId="20" fillId="7" borderId="49" xfId="0" applyFont="1" applyFill="1" applyBorder="1" applyAlignment="1">
      <alignment horizontal="center" wrapText="1"/>
    </xf>
    <xf numFmtId="0" fontId="20" fillId="7" borderId="36" xfId="0" applyFont="1" applyFill="1" applyBorder="1" applyAlignment="1">
      <alignment horizontal="center" wrapText="1"/>
    </xf>
    <xf numFmtId="0" fontId="20" fillId="7" borderId="48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29" fillId="7" borderId="5" xfId="0" applyFont="1" applyFill="1" applyBorder="1" applyAlignment="1">
      <alignment horizontal="center"/>
    </xf>
    <xf numFmtId="0" fontId="20" fillId="7" borderId="52" xfId="0" applyFont="1" applyFill="1" applyBorder="1" applyAlignment="1">
      <alignment horizontal="center" vertical="center" wrapText="1"/>
    </xf>
    <xf numFmtId="0" fontId="20" fillId="7" borderId="53" xfId="0" applyFont="1" applyFill="1" applyBorder="1" applyAlignment="1">
      <alignment horizontal="center" vertical="center" wrapText="1"/>
    </xf>
    <xf numFmtId="0" fontId="20" fillId="7" borderId="5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20" fillId="7" borderId="40" xfId="0" applyFont="1" applyFill="1" applyBorder="1" applyAlignment="1">
      <alignment horizontal="center" wrapText="1"/>
    </xf>
    <xf numFmtId="0" fontId="33" fillId="7" borderId="4" xfId="0" applyFont="1" applyFill="1" applyBorder="1" applyAlignment="1">
      <alignment horizontal="center"/>
    </xf>
    <xf numFmtId="0" fontId="33" fillId="7" borderId="1" xfId="0" applyFont="1" applyFill="1" applyBorder="1" applyAlignment="1">
      <alignment horizontal="center"/>
    </xf>
    <xf numFmtId="0" fontId="33" fillId="7" borderId="5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 wrapText="1"/>
    </xf>
    <xf numFmtId="0" fontId="20" fillId="7" borderId="33" xfId="0" applyFont="1" applyFill="1" applyBorder="1" applyAlignment="1">
      <alignment horizontal="center" wrapText="1"/>
    </xf>
    <xf numFmtId="0" fontId="20" fillId="7" borderId="56" xfId="0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0" fontId="20" fillId="7" borderId="34" xfId="0" applyFont="1" applyFill="1" applyBorder="1" applyAlignment="1">
      <alignment horizontal="center" wrapText="1"/>
    </xf>
    <xf numFmtId="0" fontId="20" fillId="7" borderId="57" xfId="0" applyFont="1" applyFill="1" applyBorder="1" applyAlignment="1">
      <alignment horizontal="center" wrapText="1"/>
    </xf>
    <xf numFmtId="0" fontId="20" fillId="7" borderId="54" xfId="0" applyFont="1" applyFill="1" applyBorder="1" applyAlignment="1">
      <alignment horizontal="center" wrapText="1"/>
    </xf>
    <xf numFmtId="0" fontId="20" fillId="7" borderId="39" xfId="0" applyFont="1" applyFill="1" applyBorder="1" applyAlignment="1">
      <alignment horizontal="center" wrapText="1"/>
    </xf>
    <xf numFmtId="0" fontId="11" fillId="3" borderId="15" xfId="3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6" fillId="5" borderId="19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wrapText="1"/>
    </xf>
    <xf numFmtId="0" fontId="6" fillId="5" borderId="36" xfId="0" applyFont="1" applyFill="1" applyBorder="1" applyAlignment="1">
      <alignment horizontal="center" wrapText="1"/>
    </xf>
    <xf numFmtId="0" fontId="6" fillId="5" borderId="48" xfId="0" applyFont="1" applyFill="1" applyBorder="1" applyAlignment="1">
      <alignment horizontal="center" wrapText="1"/>
    </xf>
    <xf numFmtId="0" fontId="15" fillId="5" borderId="19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wrapText="1"/>
    </xf>
    <xf numFmtId="0" fontId="6" fillId="5" borderId="23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wrapText="1"/>
    </xf>
    <xf numFmtId="0" fontId="0" fillId="5" borderId="34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0" fillId="5" borderId="23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94" xfId="0" applyFont="1" applyFill="1" applyBorder="1" applyAlignment="1">
      <alignment horizontal="right" vertical="center"/>
    </xf>
    <xf numFmtId="0" fontId="40" fillId="0" borderId="78" xfId="0" applyFont="1" applyFill="1" applyBorder="1" applyAlignment="1">
      <alignment horizontal="left" vertical="center"/>
    </xf>
    <xf numFmtId="0" fontId="40" fillId="0" borderId="79" xfId="0" applyFont="1" applyFill="1" applyBorder="1" applyAlignment="1">
      <alignment horizontal="left" vertical="center"/>
    </xf>
    <xf numFmtId="0" fontId="40" fillId="0" borderId="80" xfId="0" applyFont="1" applyFill="1" applyBorder="1" applyAlignment="1">
      <alignment horizontal="left" vertical="center"/>
    </xf>
    <xf numFmtId="173" fontId="6" fillId="11" borderId="4" xfId="0" applyNumberFormat="1" applyFont="1" applyFill="1" applyBorder="1" applyAlignment="1">
      <alignment horizontal="left" vertical="center"/>
    </xf>
    <xf numFmtId="173" fontId="6" fillId="11" borderId="1" xfId="0" applyNumberFormat="1" applyFont="1" applyFill="1" applyBorder="1" applyAlignment="1">
      <alignment horizontal="left" vertical="center"/>
    </xf>
    <xf numFmtId="173" fontId="6" fillId="11" borderId="4" xfId="0" applyNumberFormat="1" applyFont="1" applyFill="1" applyBorder="1" applyAlignment="1">
      <alignment horizontal="center" vertical="center"/>
    </xf>
    <xf numFmtId="173" fontId="6" fillId="11" borderId="1" xfId="0" applyNumberFormat="1" applyFont="1" applyFill="1" applyBorder="1" applyAlignment="1">
      <alignment horizontal="center" vertical="center"/>
    </xf>
    <xf numFmtId="173" fontId="6" fillId="11" borderId="92" xfId="0" applyNumberFormat="1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76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08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/>
    </xf>
    <xf numFmtId="173" fontId="6" fillId="11" borderId="5" xfId="0" applyNumberFormat="1" applyFont="1" applyFill="1" applyBorder="1" applyAlignment="1">
      <alignment horizontal="center" vertical="center"/>
    </xf>
    <xf numFmtId="0" fontId="6" fillId="0" borderId="113" xfId="0" applyFont="1" applyFill="1" applyBorder="1" applyAlignment="1">
      <alignment horizontal="right" vertical="center"/>
    </xf>
    <xf numFmtId="0" fontId="6" fillId="0" borderId="112" xfId="0" applyFont="1" applyFill="1" applyBorder="1" applyAlignment="1">
      <alignment horizontal="right" vertical="center"/>
    </xf>
    <xf numFmtId="0" fontId="6" fillId="0" borderId="127" xfId="0" applyFont="1" applyFill="1" applyBorder="1" applyAlignment="1">
      <alignment horizontal="right" vertical="center"/>
    </xf>
    <xf numFmtId="173" fontId="6" fillId="11" borderId="113" xfId="0" applyNumberFormat="1" applyFont="1" applyFill="1" applyBorder="1" applyAlignment="1">
      <alignment horizontal="center" vertical="center"/>
    </xf>
    <xf numFmtId="173" fontId="6" fillId="11" borderId="112" xfId="0" applyNumberFormat="1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right" vertical="center"/>
    </xf>
    <xf numFmtId="0" fontId="6" fillId="0" borderId="99" xfId="0" applyFont="1" applyFill="1" applyBorder="1" applyAlignment="1">
      <alignment horizontal="right" vertical="center"/>
    </xf>
    <xf numFmtId="173" fontId="6" fillId="11" borderId="100" xfId="0" applyNumberFormat="1" applyFont="1" applyFill="1" applyBorder="1" applyAlignment="1">
      <alignment horizontal="center" vertical="center"/>
    </xf>
    <xf numFmtId="173" fontId="6" fillId="11" borderId="99" xfId="0" applyNumberFormat="1" applyFont="1" applyFill="1" applyBorder="1" applyAlignment="1">
      <alignment horizontal="center" vertical="center"/>
    </xf>
    <xf numFmtId="173" fontId="6" fillId="11" borderId="94" xfId="0" applyNumberFormat="1" applyFont="1" applyFill="1" applyBorder="1" applyAlignment="1">
      <alignment horizontal="center" vertical="center"/>
    </xf>
    <xf numFmtId="173" fontId="6" fillId="11" borderId="95" xfId="0" applyNumberFormat="1" applyFont="1" applyFill="1" applyBorder="1" applyAlignment="1">
      <alignment horizontal="center" vertical="center"/>
    </xf>
    <xf numFmtId="0" fontId="6" fillId="0" borderId="114" xfId="0" applyFont="1" applyFill="1" applyBorder="1" applyAlignment="1">
      <alignment horizontal="right" vertical="center"/>
    </xf>
    <xf numFmtId="0" fontId="15" fillId="0" borderId="117" xfId="0" applyFont="1" applyFill="1" applyBorder="1" applyAlignment="1">
      <alignment vertical="center"/>
    </xf>
    <xf numFmtId="0" fontId="15" fillId="0" borderId="71" xfId="0" applyFont="1" applyFill="1" applyBorder="1" applyAlignment="1">
      <alignment vertical="center"/>
    </xf>
    <xf numFmtId="0" fontId="15" fillId="0" borderId="129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3" xfId="0" applyFont="1" applyFill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6" fontId="15" fillId="0" borderId="84" xfId="0" applyNumberFormat="1" applyFont="1" applyFill="1" applyBorder="1" applyAlignment="1">
      <alignment horizontal="left" vertical="center"/>
    </xf>
    <xf numFmtId="166" fontId="15" fillId="0" borderId="97" xfId="0" applyNumberFormat="1" applyFont="1" applyFill="1" applyBorder="1" applyAlignment="1">
      <alignment horizontal="left" vertical="center"/>
    </xf>
    <xf numFmtId="166" fontId="15" fillId="0" borderId="143" xfId="0" applyNumberFormat="1" applyFont="1" applyFill="1" applyBorder="1" applyAlignment="1">
      <alignment horizontal="center" vertical="center" wrapText="1"/>
    </xf>
    <xf numFmtId="166" fontId="15" fillId="0" borderId="61" xfId="0" applyNumberFormat="1" applyFont="1" applyFill="1" applyBorder="1" applyAlignment="1">
      <alignment horizontal="center" vertical="center" wrapText="1"/>
    </xf>
    <xf numFmtId="166" fontId="15" fillId="0" borderId="141" xfId="0" applyNumberFormat="1" applyFont="1" applyFill="1" applyBorder="1" applyAlignment="1">
      <alignment horizontal="center" vertical="center" wrapText="1"/>
    </xf>
    <xf numFmtId="166" fontId="15" fillId="0" borderId="106" xfId="0" applyNumberFormat="1" applyFont="1" applyFill="1" applyBorder="1" applyAlignment="1">
      <alignment horizontal="center" vertical="center" wrapText="1"/>
    </xf>
    <xf numFmtId="166" fontId="15" fillId="0" borderId="104" xfId="0" applyNumberFormat="1" applyFont="1" applyFill="1" applyBorder="1" applyAlignment="1">
      <alignment horizontal="center" vertical="center" wrapText="1"/>
    </xf>
    <xf numFmtId="166" fontId="15" fillId="0" borderId="107" xfId="0" applyNumberFormat="1" applyFont="1" applyFill="1" applyBorder="1" applyAlignment="1">
      <alignment horizontal="center" vertical="center" wrapText="1"/>
    </xf>
    <xf numFmtId="0" fontId="15" fillId="0" borderId="143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>
      <alignment horizontal="center" vertical="center" wrapText="1"/>
    </xf>
    <xf numFmtId="0" fontId="15" fillId="0" borderId="141" xfId="0" applyFont="1" applyFill="1" applyBorder="1" applyAlignment="1">
      <alignment horizontal="center" vertical="center" wrapText="1"/>
    </xf>
    <xf numFmtId="0" fontId="15" fillId="0" borderId="106" xfId="0" applyFont="1" applyFill="1" applyBorder="1" applyAlignment="1">
      <alignment horizontal="center" vertical="center" wrapText="1"/>
    </xf>
    <xf numFmtId="0" fontId="15" fillId="0" borderId="104" xfId="0" applyFont="1" applyFill="1" applyBorder="1" applyAlignment="1">
      <alignment horizontal="center" vertical="center" wrapText="1"/>
    </xf>
    <xf numFmtId="0" fontId="15" fillId="0" borderId="107" xfId="0" applyFont="1" applyFill="1" applyBorder="1" applyAlignment="1">
      <alignment horizontal="center" vertical="center" wrapText="1"/>
    </xf>
    <xf numFmtId="0" fontId="15" fillId="0" borderId="90" xfId="0" applyFont="1" applyFill="1" applyBorder="1" applyAlignment="1">
      <alignment horizontal="left" vertical="center"/>
    </xf>
    <xf numFmtId="0" fontId="15" fillId="0" borderId="103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144" xfId="0" applyFont="1" applyFill="1" applyBorder="1" applyAlignment="1">
      <alignment horizontal="left" vertical="center"/>
    </xf>
    <xf numFmtId="0" fontId="15" fillId="0" borderId="71" xfId="0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40" fillId="0" borderId="143" xfId="0" applyFont="1" applyFill="1" applyBorder="1" applyAlignment="1">
      <alignment horizontal="left" vertical="center"/>
    </xf>
    <xf numFmtId="0" fontId="40" fillId="0" borderId="60" xfId="0" applyFont="1" applyFill="1" applyBorder="1" applyAlignment="1">
      <alignment horizontal="left" vertical="center"/>
    </xf>
    <xf numFmtId="0" fontId="40" fillId="0" borderId="61" xfId="0" applyFont="1" applyFill="1" applyBorder="1" applyAlignment="1">
      <alignment horizontal="left" vertical="center"/>
    </xf>
    <xf numFmtId="0" fontId="6" fillId="0" borderId="100" xfId="0" applyFont="1" applyFill="1" applyBorder="1" applyAlignment="1">
      <alignment horizontal="right" vertical="center"/>
    </xf>
    <xf numFmtId="0" fontId="15" fillId="0" borderId="7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40" fillId="0" borderId="109" xfId="0" applyFont="1" applyFill="1" applyBorder="1" applyAlignment="1">
      <alignment horizontal="center" vertical="center"/>
    </xf>
    <xf numFmtId="0" fontId="40" fillId="0" borderId="110" xfId="0" applyFont="1" applyFill="1" applyBorder="1" applyAlignment="1">
      <alignment horizontal="center" vertical="center"/>
    </xf>
    <xf numFmtId="0" fontId="40" fillId="0" borderId="111" xfId="0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15" fillId="0" borderId="117" xfId="0" applyFont="1" applyFill="1" applyBorder="1" applyAlignment="1">
      <alignment horizontal="center" vertical="center" wrapText="1"/>
    </xf>
    <xf numFmtId="0" fontId="15" fillId="0" borderId="77" xfId="0" applyFont="1" applyFill="1" applyBorder="1" applyAlignment="1">
      <alignment horizontal="center" vertical="center" wrapText="1"/>
    </xf>
    <xf numFmtId="0" fontId="15" fillId="0" borderId="99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66" fontId="15" fillId="0" borderId="90" xfId="0" applyNumberFormat="1" applyFont="1" applyFill="1" applyBorder="1" applyAlignment="1">
      <alignment horizontal="left" vertical="center"/>
    </xf>
    <xf numFmtId="166" fontId="15" fillId="0" borderId="103" xfId="0" applyNumberFormat="1" applyFont="1" applyFill="1" applyBorder="1" applyAlignment="1">
      <alignment horizontal="left" vertical="center"/>
    </xf>
    <xf numFmtId="166" fontId="15" fillId="0" borderId="85" xfId="0" applyNumberFormat="1" applyFont="1" applyFill="1" applyBorder="1" applyAlignment="1">
      <alignment horizontal="left" vertical="center"/>
    </xf>
    <xf numFmtId="166" fontId="15" fillId="0" borderId="144" xfId="0" applyNumberFormat="1" applyFont="1" applyFill="1" applyBorder="1" applyAlignment="1">
      <alignment horizontal="left" vertical="center"/>
    </xf>
    <xf numFmtId="166" fontId="6" fillId="0" borderId="105" xfId="0" applyNumberFormat="1" applyFont="1" applyFill="1" applyBorder="1" applyAlignment="1">
      <alignment horizontal="left" vertical="center"/>
    </xf>
    <xf numFmtId="166" fontId="6" fillId="0" borderId="115" xfId="0" applyNumberFormat="1" applyFont="1" applyFill="1" applyBorder="1" applyAlignment="1">
      <alignment horizontal="left" vertical="center"/>
    </xf>
    <xf numFmtId="0" fontId="40" fillId="0" borderId="79" xfId="0" applyFont="1" applyFill="1" applyBorder="1" applyAlignment="1">
      <alignment horizontal="left" vertical="center" wrapText="1"/>
    </xf>
    <xf numFmtId="0" fontId="40" fillId="0" borderId="80" xfId="0" applyFont="1" applyFill="1" applyBorder="1" applyAlignment="1">
      <alignment horizontal="left" vertical="center" wrapText="1"/>
    </xf>
    <xf numFmtId="0" fontId="15" fillId="0" borderId="60" xfId="0" applyFont="1" applyFill="1" applyBorder="1" applyAlignment="1">
      <alignment horizontal="left" vertical="center" wrapText="1"/>
    </xf>
    <xf numFmtId="0" fontId="15" fillId="0" borderId="101" xfId="0" applyFont="1" applyFill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/>
    </xf>
    <xf numFmtId="0" fontId="6" fillId="0" borderId="101" xfId="0" applyFont="1" applyBorder="1" applyAlignment="1">
      <alignment horizontal="left" vertical="center"/>
    </xf>
    <xf numFmtId="0" fontId="6" fillId="0" borderId="100" xfId="0" applyFont="1" applyFill="1" applyBorder="1" applyAlignment="1">
      <alignment horizontal="center" vertical="center" wrapText="1"/>
    </xf>
    <xf numFmtId="0" fontId="6" fillId="0" borderId="99" xfId="0" applyFont="1" applyFill="1" applyBorder="1" applyAlignment="1">
      <alignment horizontal="center" vertical="center" wrapText="1"/>
    </xf>
    <xf numFmtId="0" fontId="6" fillId="0" borderId="129" xfId="0" applyFont="1" applyFill="1" applyBorder="1" applyAlignment="1">
      <alignment horizontal="center" vertical="center" wrapText="1"/>
    </xf>
    <xf numFmtId="0" fontId="6" fillId="0" borderId="147" xfId="0" applyFont="1" applyFill="1" applyBorder="1" applyAlignment="1">
      <alignment horizontal="center" vertical="center" wrapText="1"/>
    </xf>
    <xf numFmtId="0" fontId="6" fillId="0" borderId="125" xfId="0" applyFont="1" applyFill="1" applyBorder="1" applyAlignment="1">
      <alignment horizontal="center" vertical="center" wrapText="1"/>
    </xf>
    <xf numFmtId="0" fontId="6" fillId="0" borderId="148" xfId="0" applyFont="1" applyFill="1" applyBorder="1" applyAlignment="1">
      <alignment horizontal="center" vertical="center" wrapText="1"/>
    </xf>
    <xf numFmtId="0" fontId="6" fillId="11" borderId="13" xfId="3" applyFont="1" applyFill="1" applyBorder="1" applyAlignment="1">
      <alignment horizontal="center" vertical="center" wrapText="1"/>
    </xf>
    <xf numFmtId="0" fontId="6" fillId="11" borderId="74" xfId="3" applyFont="1" applyFill="1" applyBorder="1" applyAlignment="1">
      <alignment horizontal="center" vertical="center" wrapText="1"/>
    </xf>
    <xf numFmtId="166" fontId="15" fillId="0" borderId="71" xfId="0" applyNumberFormat="1" applyFont="1" applyFill="1" applyBorder="1" applyAlignment="1">
      <alignment horizontal="center" vertical="center"/>
    </xf>
    <xf numFmtId="166" fontId="15" fillId="0" borderId="7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166" fontId="6" fillId="0" borderId="90" xfId="0" applyNumberFormat="1" applyFont="1" applyFill="1" applyBorder="1" applyAlignment="1">
      <alignment horizontal="center" vertical="center" wrapText="1"/>
    </xf>
    <xf numFmtId="166" fontId="6" fillId="0" borderId="65" xfId="0" applyNumberFormat="1" applyFont="1" applyFill="1" applyBorder="1" applyAlignment="1">
      <alignment horizontal="center" vertical="center" wrapText="1"/>
    </xf>
    <xf numFmtId="166" fontId="6" fillId="0" borderId="9" xfId="0" applyNumberFormat="1" applyFont="1" applyFill="1" applyBorder="1" applyAlignment="1">
      <alignment horizontal="center" vertical="center" wrapText="1"/>
    </xf>
    <xf numFmtId="166" fontId="6" fillId="0" borderId="16" xfId="0" applyNumberFormat="1" applyFont="1" applyFill="1" applyBorder="1" applyAlignment="1">
      <alignment horizontal="center" vertical="center" wrapText="1"/>
    </xf>
    <xf numFmtId="166" fontId="6" fillId="0" borderId="66" xfId="0" applyNumberFormat="1" applyFont="1" applyFill="1" applyBorder="1" applyAlignment="1">
      <alignment horizontal="center" vertical="center" wrapText="1"/>
    </xf>
    <xf numFmtId="166" fontId="6" fillId="0" borderId="102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>
      <alignment horizontal="center" vertical="center"/>
    </xf>
    <xf numFmtId="0" fontId="6" fillId="11" borderId="2" xfId="3" applyFont="1" applyFill="1" applyBorder="1" applyAlignment="1">
      <alignment horizontal="center" vertical="center" wrapText="1"/>
    </xf>
    <xf numFmtId="0" fontId="6" fillId="11" borderId="75" xfId="3" applyFont="1" applyFill="1" applyBorder="1" applyAlignment="1">
      <alignment horizontal="center" vertical="center" wrapText="1"/>
    </xf>
  </cellXfs>
  <cellStyles count="5">
    <cellStyle name="Comma" xfId="1" builtinId="3"/>
    <cellStyle name="Good" xfId="2" builtinId="26"/>
    <cellStyle name="Input" xfId="3" builtinId="20"/>
    <cellStyle name="Normal" xfId="0" builtinId="0"/>
    <cellStyle name="Percent" xfId="4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Style" Target="style7.xml"/><Relationship Id="rId2" Type="http://schemas.microsoft.com/office/2011/relationships/chartColorStyle" Target="colors7.xml"/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Hourly Irradiance Mildly Cloudy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2"/>
          <c:order val="0"/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51.111522958125462</c:v>
              </c:pt>
              <c:pt idx="2">
                <c:v>98.739863895257713</c:v>
              </c:pt>
              <c:pt idx="3">
                <c:v>139.63921499271979</c:v>
              </c:pt>
              <c:pt idx="4">
                <c:v>171.02234010163681</c:v>
              </c:pt>
              <c:pt idx="5">
                <c:v>190.75052116362528</c:v>
              </c:pt>
              <c:pt idx="6">
                <c:v>197.47930898983481</c:v>
              </c:pt>
              <c:pt idx="7">
                <c:v>190.75014567741141</c:v>
              </c:pt>
              <c:pt idx="8">
                <c:v>171.02161471809248</c:v>
              </c:pt>
              <c:pt idx="9">
                <c:v>139.63818914576561</c:v>
              </c:pt>
              <c:pt idx="10">
                <c:v>98.738607494992721</c:v>
              </c:pt>
              <c:pt idx="11">
                <c:v>51.110121626549763</c:v>
              </c:pt>
              <c:pt idx="12">
                <c:v>-1.4507640110859238E-3</c:v>
              </c:pt>
            </c:numLit>
          </c:val>
        </c:ser>
        <c:ser>
          <c:idx val="3"/>
          <c:order val="1"/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1">
                <c:v>22</c:v>
              </c:pt>
              <c:pt idx="2">
                <c:v>54</c:v>
              </c:pt>
              <c:pt idx="3">
                <c:v>90</c:v>
              </c:pt>
              <c:pt idx="4">
                <c:v>123</c:v>
              </c:pt>
              <c:pt idx="5">
                <c:v>146</c:v>
              </c:pt>
              <c:pt idx="6">
                <c:v>155</c:v>
              </c:pt>
              <c:pt idx="7">
                <c:v>146</c:v>
              </c:pt>
              <c:pt idx="8">
                <c:v>123</c:v>
              </c:pt>
              <c:pt idx="9">
                <c:v>90</c:v>
              </c:pt>
              <c:pt idx="10">
                <c:v>54</c:v>
              </c:pt>
              <c:pt idx="11">
                <c:v>22</c:v>
              </c:pt>
            </c:numLit>
          </c:val>
        </c:ser>
        <c:ser>
          <c:idx val="4"/>
          <c:order val="2"/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1">
                <c:v>16</c:v>
              </c:pt>
              <c:pt idx="2">
                <c:v>31</c:v>
              </c:pt>
              <c:pt idx="3">
                <c:v>44</c:v>
              </c:pt>
              <c:pt idx="4">
                <c:v>54</c:v>
              </c:pt>
              <c:pt idx="5">
                <c:v>61</c:v>
              </c:pt>
              <c:pt idx="6">
                <c:v>63</c:v>
              </c:pt>
              <c:pt idx="7">
                <c:v>61</c:v>
              </c:pt>
              <c:pt idx="8">
                <c:v>54</c:v>
              </c:pt>
              <c:pt idx="9">
                <c:v>44</c:v>
              </c:pt>
              <c:pt idx="10">
                <c:v>31</c:v>
              </c:pt>
              <c:pt idx="11">
                <c:v>16</c:v>
              </c:pt>
            </c:numLit>
          </c:val>
        </c:ser>
        <c:ser>
          <c:idx val="0"/>
          <c:order val="3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1">
                <c:v>38</c:v>
              </c:pt>
              <c:pt idx="2">
                <c:v>85</c:v>
              </c:pt>
              <c:pt idx="3">
                <c:v>134</c:v>
              </c:pt>
              <c:pt idx="4">
                <c:v>177</c:v>
              </c:pt>
              <c:pt idx="5">
                <c:v>207</c:v>
              </c:pt>
              <c:pt idx="6">
                <c:v>218</c:v>
              </c:pt>
              <c:pt idx="7">
                <c:v>207</c:v>
              </c:pt>
              <c:pt idx="8">
                <c:v>177</c:v>
              </c:pt>
              <c:pt idx="9">
                <c:v>134</c:v>
              </c:pt>
              <c:pt idx="10">
                <c:v>85</c:v>
              </c:pt>
              <c:pt idx="11">
                <c:v>38</c:v>
              </c:pt>
            </c:numLit>
          </c:val>
        </c:ser>
        <c:marker val="1"/>
        <c:axId val="94198784"/>
        <c:axId val="43839488"/>
      </c:lineChart>
      <c:catAx>
        <c:axId val="94198784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39488"/>
        <c:crosses val="autoZero"/>
        <c:auto val="1"/>
        <c:lblAlgn val="ctr"/>
        <c:lblOffset val="100"/>
      </c:catAx>
      <c:valAx>
        <c:axId val="43839488"/>
        <c:scaling>
          <c:orientation val="minMax"/>
          <c:min val="0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9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 vs Angle</a:t>
            </a:r>
          </a:p>
        </c:rich>
      </c:tx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</c:trendline>
          <c:xVal>
            <c:numRef>
              <c:f>'IAM (Analytical)'!$B$2:$J$2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'IAM (Analytical)'!$B$6:$J$6</c:f>
              <c:numCache>
                <c:formatCode>0.00</c:formatCode>
                <c:ptCount val="9"/>
                <c:pt idx="0">
                  <c:v>0</c:v>
                </c:pt>
                <c:pt idx="1">
                  <c:v>1.5426611885745123E-2</c:v>
                </c:pt>
                <c:pt idx="2">
                  <c:v>6.4177772475912054E-2</c:v>
                </c:pt>
                <c:pt idx="3">
                  <c:v>0.15470053837925146</c:v>
                </c:pt>
                <c:pt idx="4">
                  <c:v>0.30540728933227856</c:v>
                </c:pt>
                <c:pt idx="5">
                  <c:v>0.55572382686041233</c:v>
                </c:pt>
                <c:pt idx="6">
                  <c:v>0.99999999999999956</c:v>
                </c:pt>
                <c:pt idx="7">
                  <c:v>1.9238044001630863</c:v>
                </c:pt>
              </c:numCache>
            </c:numRef>
          </c:yVal>
        </c:ser>
        <c:axId val="44870272"/>
        <c:axId val="44876160"/>
      </c:scatterChart>
      <c:valAx>
        <c:axId val="4487027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6160"/>
        <c:crosses val="autoZero"/>
        <c:crossBetween val="midCat"/>
      </c:valAx>
      <c:valAx>
        <c:axId val="448761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0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IAM</a:t>
            </a:r>
            <a:r>
              <a:rPr lang="en-US" baseline="0"/>
              <a:t> vs S, Linear Fit</a:t>
            </a:r>
          </a:p>
        </c:rich>
      </c:tx>
      <c:spPr>
        <a:noFill/>
        <a:ln>
          <a:noFill/>
        </a:ln>
        <a:effectLst/>
      </c:spPr>
    </c:title>
    <c:plotArea>
      <c:layout/>
      <c:scatterChart>
        <c:scatterStyle val="smooth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1"/>
            <c:dispRSqr val="1"/>
            <c:dispEq val="1"/>
            <c:trendlineLbl>
              <c:layout>
                <c:manualLayout>
                  <c:x val="4.3527182420583066E-2"/>
                  <c:y val="-0.267224088811012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'IAM (Analytical)'!$B$6:$I$6</c:f>
              <c:numCache>
                <c:formatCode>0.00</c:formatCode>
                <c:ptCount val="8"/>
                <c:pt idx="0">
                  <c:v>0</c:v>
                </c:pt>
                <c:pt idx="1">
                  <c:v>1.5426611885745123E-2</c:v>
                </c:pt>
                <c:pt idx="2">
                  <c:v>6.4177772475912054E-2</c:v>
                </c:pt>
                <c:pt idx="3">
                  <c:v>0.15470053837925146</c:v>
                </c:pt>
                <c:pt idx="4">
                  <c:v>0.30540728933227856</c:v>
                </c:pt>
                <c:pt idx="5">
                  <c:v>0.55572382686041233</c:v>
                </c:pt>
                <c:pt idx="6">
                  <c:v>0.99999999999999956</c:v>
                </c:pt>
                <c:pt idx="7">
                  <c:v>1.9238044001630863</c:v>
                </c:pt>
              </c:numCache>
            </c:numRef>
          </c:xVal>
          <c:yVal>
            <c:numRef>
              <c:f>'IAM (Analytical)'!$B$4:$I$4</c:f>
              <c:numCache>
                <c:formatCode>0.000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axId val="44888448"/>
        <c:axId val="44890368"/>
      </c:scatterChart>
      <c:valAx>
        <c:axId val="4488844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</a:t>
                </a:r>
                <a:r>
                  <a:rPr lang="en-US" baseline="0"/>
                  <a:t> = (1/cos </a:t>
                </a:r>
                <a:r>
                  <a:rPr lang="el-GR" baseline="0"/>
                  <a:t>θ</a:t>
                </a:r>
                <a:r>
                  <a:rPr lang="en-US" baseline="0"/>
                  <a:t> ) -1</a:t>
                </a:r>
                <a:endParaRPr lang="en-US"/>
              </a:p>
            </c:rich>
          </c:tx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0368"/>
        <c:crosses val="autoZero"/>
        <c:crossBetween val="midCat"/>
      </c:valAx>
      <c:valAx>
        <c:axId val="448903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IAM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8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IAM</a:t>
            </a:r>
            <a:r>
              <a:rPr lang="en-US" baseline="0"/>
              <a:t> vs S, Second Order Fit</a:t>
            </a:r>
          </a:p>
        </c:rich>
      </c:tx>
      <c:spPr>
        <a:noFill/>
        <a:ln>
          <a:noFill/>
        </a:ln>
        <a:effectLst/>
      </c:spPr>
    </c:title>
    <c:plotArea>
      <c:layout/>
      <c:scatterChart>
        <c:scatterStyle val="smooth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intercept val="1"/>
            <c:dispRSqr val="1"/>
            <c:dispEq val="1"/>
            <c:trendlineLbl>
              <c:layout>
                <c:manualLayout>
                  <c:x val="8.9954686157504016E-2"/>
                  <c:y val="-0.313566518290871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'IAM (Analytical)'!$B$6:$I$6</c:f>
              <c:numCache>
                <c:formatCode>0.00</c:formatCode>
                <c:ptCount val="8"/>
                <c:pt idx="0">
                  <c:v>0</c:v>
                </c:pt>
                <c:pt idx="1">
                  <c:v>1.5426611885745123E-2</c:v>
                </c:pt>
                <c:pt idx="2">
                  <c:v>6.4177772475912054E-2</c:v>
                </c:pt>
                <c:pt idx="3">
                  <c:v>0.15470053837925146</c:v>
                </c:pt>
                <c:pt idx="4">
                  <c:v>0.30540728933227856</c:v>
                </c:pt>
                <c:pt idx="5">
                  <c:v>0.55572382686041233</c:v>
                </c:pt>
                <c:pt idx="6">
                  <c:v>0.99999999999999956</c:v>
                </c:pt>
                <c:pt idx="7">
                  <c:v>1.9238044001630863</c:v>
                </c:pt>
              </c:numCache>
            </c:numRef>
          </c:xVal>
          <c:yVal>
            <c:numRef>
              <c:f>'IAM (Analytical)'!$B$4:$I$4</c:f>
              <c:numCache>
                <c:formatCode>0.000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axId val="44923520"/>
        <c:axId val="44929792"/>
      </c:scatterChart>
      <c:valAx>
        <c:axId val="4492352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</a:t>
                </a:r>
                <a:r>
                  <a:rPr lang="en-US" baseline="0"/>
                  <a:t> = (1/cos </a:t>
                </a:r>
                <a:r>
                  <a:rPr lang="el-GR" baseline="0"/>
                  <a:t>θ</a:t>
                </a:r>
                <a:r>
                  <a:rPr lang="en-US" baseline="0"/>
                  <a:t> ) -1</a:t>
                </a:r>
                <a:endParaRPr lang="en-US"/>
              </a:p>
            </c:rich>
          </c:tx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29792"/>
        <c:crosses val="autoZero"/>
        <c:crossBetween val="midCat"/>
      </c:valAx>
      <c:valAx>
        <c:axId val="44929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IAM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23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IAM</a:t>
            </a:r>
            <a:r>
              <a:rPr lang="en-US" baseline="0"/>
              <a:t>, Test &amp; Calculated Values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078916899753443"/>
          <c:y val="0.10989627065703823"/>
          <c:w val="0.85374062164032194"/>
          <c:h val="0.75853840570699149"/>
        </c:manualLayout>
      </c:layout>
      <c:scatterChart>
        <c:scatterStyle val="line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"/>
            <c:marker>
              <c:spPr>
                <a:solidFill>
                  <a:srgbClr val="C0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6"/>
            <c:marker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10"/>
            <c:marker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</c:dPt>
          <c:xVal>
            <c:numRef>
              <c:f>'IAM (Analytical)'!$B$31:$L$31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75</c:v>
                </c:pt>
              </c:numCache>
            </c:numRef>
          </c:xVal>
          <c:yVal>
            <c:numRef>
              <c:f>'IAM (Analytical)'!$B$33:$L$33</c:f>
              <c:numCache>
                <c:formatCode>0.000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0.97236952157258327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0.67556241162033648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-1.2430289072063516</c:v>
                </c:pt>
              </c:numCache>
            </c:numRef>
          </c:yVal>
          <c:smooth val="1"/>
        </c:ser>
        <c:axId val="45037056"/>
        <c:axId val="45038976"/>
      </c:scatterChart>
      <c:valAx>
        <c:axId val="450370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Incidence Angle,</a:t>
                </a:r>
                <a:r>
                  <a:rPr lang="el-GR"/>
                  <a:t>θ</a:t>
                </a:r>
                <a:r>
                  <a:rPr lang="en-US"/>
                  <a:t> 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38976"/>
        <c:crosses val="autoZero"/>
        <c:crossBetween val="midCat"/>
      </c:valAx>
      <c:valAx>
        <c:axId val="45038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IAM,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37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Isotropic Diffuse Irradiation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Modifier</a:t>
            </a:r>
          </a:p>
        </c:rich>
      </c:tx>
      <c:layout>
        <c:manualLayout>
          <c:xMode val="edge"/>
          <c:yMode val="edge"/>
          <c:x val="0.33897893108224247"/>
          <c:y val="9.7859346068404612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0571331291701983E-2"/>
          <c:y val="0.13418808720423553"/>
          <c:w val="0.77371159211123364"/>
          <c:h val="0.76329095587005813"/>
        </c:manualLayout>
      </c:layout>
      <c:scatterChart>
        <c:scatterStyle val="lineMarker"/>
        <c:ser>
          <c:idx val="0"/>
          <c:order val="0"/>
          <c:tx>
            <c:v>Kb(θi)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Lit>
              <c:formatCode>0.00</c:formatCode>
              <c:ptCount val="12"/>
              <c:pt idx="0">
                <c:v>0</c:v>
              </c:pt>
              <c:pt idx="1">
                <c:v>0.17453292519943314</c:v>
              </c:pt>
              <c:pt idx="2">
                <c:v>0.26179938779914941</c:v>
              </c:pt>
              <c:pt idx="3">
                <c:v>0.34906585039886634</c:v>
              </c:pt>
              <c:pt idx="4">
                <c:v>0.52359877559829882</c:v>
              </c:pt>
              <c:pt idx="5">
                <c:v>0.69813170079773157</c:v>
              </c:pt>
              <c:pt idx="6">
                <c:v>0.78539816339744828</c:v>
              </c:pt>
              <c:pt idx="7">
                <c:v>0.87266462599716477</c:v>
              </c:pt>
              <c:pt idx="8">
                <c:v>1.0471975511965981</c:v>
              </c:pt>
              <c:pt idx="9">
                <c:v>1.2217304763960306</c:v>
              </c:pt>
              <c:pt idx="10">
                <c:v>1.3089969389957481</c:v>
              </c:pt>
              <c:pt idx="11">
                <c:v>1.5707963267948966</c:v>
              </c:pt>
            </c:numLit>
          </c:xVal>
          <c:yVal>
            <c:numLit>
              <c:formatCode>0.000</c:formatCode>
              <c:ptCount val="12"/>
              <c:pt idx="0">
                <c:v>1</c:v>
              </c:pt>
              <c:pt idx="1">
                <c:v>1</c:v>
              </c:pt>
              <c:pt idx="2">
                <c:v>0.995</c:v>
              </c:pt>
              <c:pt idx="3">
                <c:v>0.99</c:v>
              </c:pt>
              <c:pt idx="4">
                <c:v>0.98</c:v>
              </c:pt>
              <c:pt idx="5">
                <c:v>0.96000000000000063</c:v>
              </c:pt>
              <c:pt idx="6">
                <c:v>0.94500000000000062</c:v>
              </c:pt>
              <c:pt idx="7">
                <c:v>0.93</c:v>
              </c:pt>
              <c:pt idx="8">
                <c:v>0.88</c:v>
              </c:pt>
              <c:pt idx="9">
                <c:v>0.77000000000000091</c:v>
              </c:pt>
              <c:pt idx="10">
                <c:v>0.57750000000000001</c:v>
              </c:pt>
              <c:pt idx="11">
                <c:v>0</c:v>
              </c:pt>
            </c:numLit>
          </c:yVal>
        </c:ser>
        <c:ser>
          <c:idx val="1"/>
          <c:order val="1"/>
          <c:tx>
            <c:v>sin(2θi)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Lit>
              <c:formatCode>0.00</c:formatCode>
              <c:ptCount val="12"/>
              <c:pt idx="0">
                <c:v>0</c:v>
              </c:pt>
              <c:pt idx="1">
                <c:v>0.17453292519943314</c:v>
              </c:pt>
              <c:pt idx="2">
                <c:v>0.26179938779914941</c:v>
              </c:pt>
              <c:pt idx="3">
                <c:v>0.34906585039886634</c:v>
              </c:pt>
              <c:pt idx="4">
                <c:v>0.52359877559829882</c:v>
              </c:pt>
              <c:pt idx="5">
                <c:v>0.69813170079773157</c:v>
              </c:pt>
              <c:pt idx="6">
                <c:v>0.78539816339744828</c:v>
              </c:pt>
              <c:pt idx="7">
                <c:v>0.87266462599716477</c:v>
              </c:pt>
              <c:pt idx="8">
                <c:v>1.0471975511965981</c:v>
              </c:pt>
              <c:pt idx="9">
                <c:v>1.2217304763960306</c:v>
              </c:pt>
              <c:pt idx="10">
                <c:v>1.3089969389957481</c:v>
              </c:pt>
              <c:pt idx="11">
                <c:v>1.5707963267948966</c:v>
              </c:pt>
            </c:numLit>
          </c:xVal>
          <c:yVal>
            <c:numLit>
              <c:formatCode>0.00</c:formatCode>
              <c:ptCount val="12"/>
              <c:pt idx="0">
                <c:v>0</c:v>
              </c:pt>
              <c:pt idx="1">
                <c:v>0.34202014332566938</c:v>
              </c:pt>
              <c:pt idx="2">
                <c:v>0.5</c:v>
              </c:pt>
              <c:pt idx="3">
                <c:v>0.64278760968654025</c:v>
              </c:pt>
              <c:pt idx="4">
                <c:v>0.86602540378443948</c:v>
              </c:pt>
              <c:pt idx="5">
                <c:v>0.98480775301220758</c:v>
              </c:pt>
              <c:pt idx="6">
                <c:v>1</c:v>
              </c:pt>
              <c:pt idx="7">
                <c:v>0.98480775301220758</c:v>
              </c:pt>
              <c:pt idx="8">
                <c:v>0.86602540378443971</c:v>
              </c:pt>
              <c:pt idx="9">
                <c:v>0.64278760968654036</c:v>
              </c:pt>
              <c:pt idx="10">
                <c:v>0.5</c:v>
              </c:pt>
              <c:pt idx="11">
                <c:v>1.2251484549086277E-16</c:v>
              </c:pt>
            </c:numLit>
          </c:yVal>
        </c:ser>
        <c:ser>
          <c:idx val="2"/>
          <c:order val="2"/>
          <c:tx>
            <c:v>Kb(θi).sin(2θi)</c:v>
          </c:tx>
          <c:spPr>
            <a:ln w="95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FF00"/>
              </a:solidFill>
              <a:ln w="95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Lit>
              <c:formatCode>0.00</c:formatCode>
              <c:ptCount val="12"/>
              <c:pt idx="0">
                <c:v>0</c:v>
              </c:pt>
              <c:pt idx="1">
                <c:v>0.17453292519943314</c:v>
              </c:pt>
              <c:pt idx="2">
                <c:v>0.26179938779914941</c:v>
              </c:pt>
              <c:pt idx="3">
                <c:v>0.34906585039886634</c:v>
              </c:pt>
              <c:pt idx="4">
                <c:v>0.52359877559829882</c:v>
              </c:pt>
              <c:pt idx="5">
                <c:v>0.69813170079773157</c:v>
              </c:pt>
              <c:pt idx="6">
                <c:v>0.78539816339744828</c:v>
              </c:pt>
              <c:pt idx="7">
                <c:v>0.87266462599716477</c:v>
              </c:pt>
              <c:pt idx="8">
                <c:v>1.0471975511965981</c:v>
              </c:pt>
              <c:pt idx="9">
                <c:v>1.2217304763960306</c:v>
              </c:pt>
              <c:pt idx="10">
                <c:v>1.3089969389957481</c:v>
              </c:pt>
              <c:pt idx="11">
                <c:v>1.5707963267948966</c:v>
              </c:pt>
            </c:numLit>
          </c:xVal>
          <c:yVal>
            <c:numLit>
              <c:formatCode>0.00</c:formatCode>
              <c:ptCount val="12"/>
              <c:pt idx="0">
                <c:v>0</c:v>
              </c:pt>
              <c:pt idx="1">
                <c:v>0.34202014332566938</c:v>
              </c:pt>
              <c:pt idx="2">
                <c:v>0.49750000000000039</c:v>
              </c:pt>
              <c:pt idx="3">
                <c:v>0.63635973358967557</c:v>
              </c:pt>
              <c:pt idx="4">
                <c:v>0.84870489570874985</c:v>
              </c:pt>
              <c:pt idx="5">
                <c:v>0.94541544289171953</c:v>
              </c:pt>
              <c:pt idx="6">
                <c:v>0.94500000000000062</c:v>
              </c:pt>
              <c:pt idx="7">
                <c:v>0.91587121030135432</c:v>
              </c:pt>
              <c:pt idx="8">
                <c:v>0.76210235533030601</c:v>
              </c:pt>
              <c:pt idx="9">
                <c:v>0.49494645945863541</c:v>
              </c:pt>
              <c:pt idx="10">
                <c:v>0.28875000000000001</c:v>
              </c:pt>
              <c:pt idx="11">
                <c:v>0</c:v>
              </c:pt>
            </c:numLit>
          </c:yVal>
        </c:ser>
        <c:axId val="45658880"/>
        <c:axId val="45661184"/>
      </c:scatterChart>
      <c:valAx>
        <c:axId val="45658880"/>
        <c:scaling>
          <c:orientation val="minMax"/>
          <c:max val="1.6"/>
          <c:min val="0"/>
        </c:scaling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Incidence angle (radians)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1184"/>
        <c:crosses val="autoZero"/>
        <c:crossBetween val="midCat"/>
      </c:valAx>
      <c:valAx>
        <c:axId val="456611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5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Hourly Irradiance Cloudy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2"/>
          <c:order val="0"/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34.074348638750301</c:v>
              </c:pt>
              <c:pt idx="2">
                <c:v>65.826575930171643</c:v>
              </c:pt>
              <c:pt idx="3">
                <c:v>93.092809995146524</c:v>
              </c:pt>
              <c:pt idx="4">
                <c:v>114.01489340109107</c:v>
              </c:pt>
              <c:pt idx="5">
                <c:v>127.16701410908354</c:v>
              </c:pt>
              <c:pt idx="6">
                <c:v>131.65287265988985</c:v>
              </c:pt>
              <c:pt idx="7">
                <c:v>127.16676378494101</c:v>
              </c:pt>
              <c:pt idx="8">
                <c:v>114.01440981206154</c:v>
              </c:pt>
              <c:pt idx="9">
                <c:v>93.092126097177129</c:v>
              </c:pt>
              <c:pt idx="10">
                <c:v>65.825738329994977</c:v>
              </c:pt>
              <c:pt idx="11">
                <c:v>34.073414417699794</c:v>
              </c:pt>
              <c:pt idx="12">
                <c:v>-9.6717600739061734E-4</c:v>
              </c:pt>
            </c:numLit>
          </c:val>
        </c:ser>
        <c:ser>
          <c:idx val="3"/>
          <c:order val="1"/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1">
                <c:v>9</c:v>
              </c:pt>
              <c:pt idx="2">
                <c:v>25</c:v>
              </c:pt>
              <c:pt idx="3">
                <c:v>45</c:v>
              </c:pt>
              <c:pt idx="4">
                <c:v>64</c:v>
              </c:pt>
              <c:pt idx="5">
                <c:v>79</c:v>
              </c:pt>
              <c:pt idx="6">
                <c:v>84</c:v>
              </c:pt>
              <c:pt idx="7">
                <c:v>79</c:v>
              </c:pt>
              <c:pt idx="8">
                <c:v>64</c:v>
              </c:pt>
              <c:pt idx="9">
                <c:v>45</c:v>
              </c:pt>
              <c:pt idx="10">
                <c:v>25</c:v>
              </c:pt>
              <c:pt idx="11">
                <c:v>9</c:v>
              </c:pt>
            </c:numLit>
          </c:val>
        </c:ser>
        <c:ser>
          <c:idx val="4"/>
          <c:order val="2"/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1">
                <c:v>16</c:v>
              </c:pt>
              <c:pt idx="2">
                <c:v>31</c:v>
              </c:pt>
              <c:pt idx="3">
                <c:v>44</c:v>
              </c:pt>
              <c:pt idx="4">
                <c:v>54</c:v>
              </c:pt>
              <c:pt idx="5">
                <c:v>60</c:v>
              </c:pt>
              <c:pt idx="6">
                <c:v>62</c:v>
              </c:pt>
              <c:pt idx="7">
                <c:v>60</c:v>
              </c:pt>
              <c:pt idx="8">
                <c:v>54</c:v>
              </c:pt>
              <c:pt idx="9">
                <c:v>44</c:v>
              </c:pt>
              <c:pt idx="10">
                <c:v>31</c:v>
              </c:pt>
              <c:pt idx="11">
                <c:v>16</c:v>
              </c:pt>
            </c:numLit>
          </c:val>
        </c:ser>
        <c:ser>
          <c:idx val="0"/>
          <c:order val="3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1">
                <c:v>25</c:v>
              </c:pt>
              <c:pt idx="2">
                <c:v>56</c:v>
              </c:pt>
              <c:pt idx="3">
                <c:v>89</c:v>
              </c:pt>
              <c:pt idx="4">
                <c:v>118</c:v>
              </c:pt>
              <c:pt idx="5">
                <c:v>139</c:v>
              </c:pt>
              <c:pt idx="6">
                <c:v>146</c:v>
              </c:pt>
              <c:pt idx="7">
                <c:v>139</c:v>
              </c:pt>
              <c:pt idx="8">
                <c:v>118</c:v>
              </c:pt>
              <c:pt idx="9">
                <c:v>89</c:v>
              </c:pt>
              <c:pt idx="10">
                <c:v>56</c:v>
              </c:pt>
              <c:pt idx="11">
                <c:v>25</c:v>
              </c:pt>
            </c:numLit>
          </c:val>
        </c:ser>
        <c:marker val="1"/>
        <c:axId val="43923328"/>
        <c:axId val="43924864"/>
      </c:lineChart>
      <c:catAx>
        <c:axId val="43923328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4864"/>
        <c:crosses val="autoZero"/>
        <c:auto val="1"/>
        <c:lblAlgn val="ctr"/>
        <c:lblOffset val="100"/>
      </c:catAx>
      <c:valAx>
        <c:axId val="43924864"/>
        <c:scaling>
          <c:orientation val="minMax"/>
          <c:min val="0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Hourly Irradiance Clear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2"/>
          <c:order val="0"/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68.148697277500588</c:v>
              </c:pt>
              <c:pt idx="2">
                <c:v>131.65315186034329</c:v>
              </c:pt>
              <c:pt idx="3">
                <c:v>186.18561999029325</c:v>
              </c:pt>
              <c:pt idx="4">
                <c:v>228.02978680218197</c:v>
              </c:pt>
              <c:pt idx="5">
                <c:v>254.33402821816708</c:v>
              </c:pt>
              <c:pt idx="6">
                <c:v>263.3057453197797</c:v>
              </c:pt>
              <c:pt idx="7">
                <c:v>254.33352756988162</c:v>
              </c:pt>
              <c:pt idx="8">
                <c:v>228.02881962412329</c:v>
              </c:pt>
              <c:pt idx="9">
                <c:v>186.18425219435369</c:v>
              </c:pt>
              <c:pt idx="10">
                <c:v>131.65147665999058</c:v>
              </c:pt>
              <c:pt idx="11">
                <c:v>68.146828835399589</c:v>
              </c:pt>
              <c:pt idx="12">
                <c:v>-1.9343520147812386E-3</c:v>
              </c:pt>
            </c:numLit>
          </c:val>
        </c:ser>
        <c:ser>
          <c:idx val="3"/>
          <c:order val="1"/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1">
                <c:v>37</c:v>
              </c:pt>
              <c:pt idx="2">
                <c:v>85</c:v>
              </c:pt>
              <c:pt idx="3">
                <c:v>138</c:v>
              </c:pt>
              <c:pt idx="4">
                <c:v>187</c:v>
              </c:pt>
              <c:pt idx="5">
                <c:v>220</c:v>
              </c:pt>
              <c:pt idx="6">
                <c:v>231</c:v>
              </c:pt>
              <c:pt idx="7">
                <c:v>220</c:v>
              </c:pt>
              <c:pt idx="8">
                <c:v>187</c:v>
              </c:pt>
              <c:pt idx="9">
                <c:v>138</c:v>
              </c:pt>
              <c:pt idx="10">
                <c:v>85</c:v>
              </c:pt>
              <c:pt idx="11">
                <c:v>37</c:v>
              </c:pt>
            </c:numLit>
          </c:val>
        </c:ser>
        <c:ser>
          <c:idx val="4"/>
          <c:order val="2"/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1">
                <c:v>15</c:v>
              </c:pt>
              <c:pt idx="2">
                <c:v>29</c:v>
              </c:pt>
              <c:pt idx="3">
                <c:v>40</c:v>
              </c:pt>
              <c:pt idx="4">
                <c:v>50</c:v>
              </c:pt>
              <c:pt idx="5">
                <c:v>55</c:v>
              </c:pt>
              <c:pt idx="6">
                <c:v>57</c:v>
              </c:pt>
              <c:pt idx="7">
                <c:v>55</c:v>
              </c:pt>
              <c:pt idx="8">
                <c:v>50</c:v>
              </c:pt>
              <c:pt idx="9">
                <c:v>40</c:v>
              </c:pt>
              <c:pt idx="10">
                <c:v>29</c:v>
              </c:pt>
              <c:pt idx="11">
                <c:v>15</c:v>
              </c:pt>
            </c:numLit>
          </c:val>
        </c:ser>
        <c:ser>
          <c:idx val="0"/>
          <c:order val="3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</c:numLit>
          </c:cat>
          <c:val>
            <c:numLit>
              <c:formatCode>General</c:formatCode>
              <c:ptCount val="13"/>
              <c:pt idx="1">
                <c:v>52</c:v>
              </c:pt>
              <c:pt idx="2">
                <c:v>114</c:v>
              </c:pt>
              <c:pt idx="3">
                <c:v>178</c:v>
              </c:pt>
              <c:pt idx="4">
                <c:v>237</c:v>
              </c:pt>
              <c:pt idx="5">
                <c:v>275</c:v>
              </c:pt>
              <c:pt idx="6">
                <c:v>288</c:v>
              </c:pt>
              <c:pt idx="7">
                <c:v>275</c:v>
              </c:pt>
              <c:pt idx="8">
                <c:v>237</c:v>
              </c:pt>
              <c:pt idx="9">
                <c:v>178</c:v>
              </c:pt>
              <c:pt idx="10">
                <c:v>114</c:v>
              </c:pt>
              <c:pt idx="11">
                <c:v>52</c:v>
              </c:pt>
            </c:numLit>
          </c:val>
        </c:ser>
        <c:marker val="1"/>
        <c:axId val="44013056"/>
        <c:axId val="44014592"/>
      </c:lineChart>
      <c:catAx>
        <c:axId val="44013056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14592"/>
        <c:crosses val="autoZero"/>
        <c:auto val="1"/>
        <c:lblAlgn val="ctr"/>
        <c:lblOffset val="100"/>
      </c:catAx>
      <c:valAx>
        <c:axId val="44014592"/>
        <c:scaling>
          <c:orientation val="minMax"/>
          <c:min val="0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Irradiance Comparison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v>Clear Diffuse</c:v>
          </c:tx>
          <c:spPr>
            <a:ln w="381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15</c:v>
              </c:pt>
              <c:pt idx="1">
                <c:v>29</c:v>
              </c:pt>
              <c:pt idx="2">
                <c:v>40</c:v>
              </c:pt>
              <c:pt idx="3">
                <c:v>50</c:v>
              </c:pt>
              <c:pt idx="4">
                <c:v>55</c:v>
              </c:pt>
              <c:pt idx="5">
                <c:v>57</c:v>
              </c:pt>
              <c:pt idx="6">
                <c:v>55</c:v>
              </c:pt>
              <c:pt idx="7">
                <c:v>50</c:v>
              </c:pt>
              <c:pt idx="8">
                <c:v>40</c:v>
              </c:pt>
              <c:pt idx="9">
                <c:v>29</c:v>
              </c:pt>
              <c:pt idx="10">
                <c:v>15</c:v>
              </c:pt>
            </c:numLit>
          </c:val>
        </c:ser>
        <c:ser>
          <c:idx val="1"/>
          <c:order val="1"/>
          <c:tx>
            <c:v>Clear Total</c:v>
          </c:tx>
          <c:spPr>
            <a:ln w="381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52</c:v>
              </c:pt>
              <c:pt idx="1">
                <c:v>114</c:v>
              </c:pt>
              <c:pt idx="2">
                <c:v>178</c:v>
              </c:pt>
              <c:pt idx="3">
                <c:v>237</c:v>
              </c:pt>
              <c:pt idx="4">
                <c:v>275</c:v>
              </c:pt>
              <c:pt idx="5">
                <c:v>288</c:v>
              </c:pt>
              <c:pt idx="6">
                <c:v>275</c:v>
              </c:pt>
              <c:pt idx="7">
                <c:v>237</c:v>
              </c:pt>
              <c:pt idx="8">
                <c:v>178</c:v>
              </c:pt>
              <c:pt idx="9">
                <c:v>114</c:v>
              </c:pt>
              <c:pt idx="10">
                <c:v>52</c:v>
              </c:pt>
            </c:numLit>
          </c:val>
        </c:ser>
        <c:ser>
          <c:idx val="2"/>
          <c:order val="2"/>
          <c:tx>
            <c:v>Mild Direct</c:v>
          </c:tx>
          <c:spPr>
            <a:ln w="381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22</c:v>
              </c:pt>
              <c:pt idx="1">
                <c:v>54</c:v>
              </c:pt>
              <c:pt idx="2">
                <c:v>90</c:v>
              </c:pt>
              <c:pt idx="3">
                <c:v>123</c:v>
              </c:pt>
              <c:pt idx="4">
                <c:v>146</c:v>
              </c:pt>
              <c:pt idx="5">
                <c:v>155</c:v>
              </c:pt>
              <c:pt idx="6">
                <c:v>146</c:v>
              </c:pt>
              <c:pt idx="7">
                <c:v>123</c:v>
              </c:pt>
              <c:pt idx="8">
                <c:v>90</c:v>
              </c:pt>
              <c:pt idx="9">
                <c:v>54</c:v>
              </c:pt>
              <c:pt idx="10">
                <c:v>22</c:v>
              </c:pt>
            </c:numLit>
          </c:val>
        </c:ser>
        <c:ser>
          <c:idx val="3"/>
          <c:order val="3"/>
          <c:tx>
            <c:v>Mild Diffuse</c:v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16</c:v>
              </c:pt>
              <c:pt idx="1">
                <c:v>31</c:v>
              </c:pt>
              <c:pt idx="2">
                <c:v>44</c:v>
              </c:pt>
              <c:pt idx="3">
                <c:v>54</c:v>
              </c:pt>
              <c:pt idx="4">
                <c:v>61</c:v>
              </c:pt>
              <c:pt idx="5">
                <c:v>63</c:v>
              </c:pt>
              <c:pt idx="6">
                <c:v>61</c:v>
              </c:pt>
              <c:pt idx="7">
                <c:v>54</c:v>
              </c:pt>
              <c:pt idx="8">
                <c:v>44</c:v>
              </c:pt>
              <c:pt idx="9">
                <c:v>31</c:v>
              </c:pt>
              <c:pt idx="10">
                <c:v>16</c:v>
              </c:pt>
            </c:numLit>
          </c:val>
        </c:ser>
        <c:ser>
          <c:idx val="4"/>
          <c:order val="4"/>
          <c:tx>
            <c:v>Mild Total</c:v>
          </c:tx>
          <c:spPr>
            <a:ln w="381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38</c:v>
              </c:pt>
              <c:pt idx="1">
                <c:v>85</c:v>
              </c:pt>
              <c:pt idx="2">
                <c:v>134</c:v>
              </c:pt>
              <c:pt idx="3">
                <c:v>177</c:v>
              </c:pt>
              <c:pt idx="4">
                <c:v>207</c:v>
              </c:pt>
              <c:pt idx="5">
                <c:v>218</c:v>
              </c:pt>
              <c:pt idx="6">
                <c:v>207</c:v>
              </c:pt>
              <c:pt idx="7">
                <c:v>177</c:v>
              </c:pt>
              <c:pt idx="8">
                <c:v>134</c:v>
              </c:pt>
              <c:pt idx="9">
                <c:v>85</c:v>
              </c:pt>
              <c:pt idx="10">
                <c:v>38</c:v>
              </c:pt>
            </c:numLit>
          </c:val>
        </c:ser>
        <c:ser>
          <c:idx val="5"/>
          <c:order val="5"/>
          <c:tx>
            <c:v>Cloudy Direct</c:v>
          </c:tx>
          <c:spPr>
            <a:ln w="381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9</c:v>
              </c:pt>
              <c:pt idx="1">
                <c:v>25</c:v>
              </c:pt>
              <c:pt idx="2">
                <c:v>45</c:v>
              </c:pt>
              <c:pt idx="3">
                <c:v>64</c:v>
              </c:pt>
              <c:pt idx="4">
                <c:v>79</c:v>
              </c:pt>
              <c:pt idx="5">
                <c:v>84</c:v>
              </c:pt>
              <c:pt idx="6">
                <c:v>79</c:v>
              </c:pt>
              <c:pt idx="7">
                <c:v>64</c:v>
              </c:pt>
              <c:pt idx="8">
                <c:v>45</c:v>
              </c:pt>
              <c:pt idx="9">
                <c:v>25</c:v>
              </c:pt>
              <c:pt idx="10">
                <c:v>9</c:v>
              </c:pt>
            </c:numLit>
          </c:val>
        </c:ser>
        <c:ser>
          <c:idx val="6"/>
          <c:order val="6"/>
          <c:tx>
            <c:v>Cloudy Diffuse</c:v>
          </c:tx>
          <c:spPr>
            <a:ln w="381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16</c:v>
              </c:pt>
              <c:pt idx="1">
                <c:v>31</c:v>
              </c:pt>
              <c:pt idx="2">
                <c:v>44</c:v>
              </c:pt>
              <c:pt idx="3">
                <c:v>54</c:v>
              </c:pt>
              <c:pt idx="4">
                <c:v>60</c:v>
              </c:pt>
              <c:pt idx="5">
                <c:v>62</c:v>
              </c:pt>
              <c:pt idx="6">
                <c:v>60</c:v>
              </c:pt>
              <c:pt idx="7">
                <c:v>54</c:v>
              </c:pt>
              <c:pt idx="8">
                <c:v>44</c:v>
              </c:pt>
              <c:pt idx="9">
                <c:v>31</c:v>
              </c:pt>
              <c:pt idx="10">
                <c:v>16</c:v>
              </c:pt>
            </c:numLit>
          </c:val>
        </c:ser>
        <c:ser>
          <c:idx val="7"/>
          <c:order val="7"/>
          <c:tx>
            <c:v>Cloudy Total</c:v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25</c:v>
              </c:pt>
              <c:pt idx="1">
                <c:v>56</c:v>
              </c:pt>
              <c:pt idx="2">
                <c:v>89</c:v>
              </c:pt>
              <c:pt idx="3">
                <c:v>118</c:v>
              </c:pt>
              <c:pt idx="4">
                <c:v>139</c:v>
              </c:pt>
              <c:pt idx="5">
                <c:v>146</c:v>
              </c:pt>
              <c:pt idx="6">
                <c:v>139</c:v>
              </c:pt>
              <c:pt idx="7">
                <c:v>118</c:v>
              </c:pt>
              <c:pt idx="8">
                <c:v>89</c:v>
              </c:pt>
              <c:pt idx="9">
                <c:v>56</c:v>
              </c:pt>
              <c:pt idx="10">
                <c:v>25</c:v>
              </c:pt>
            </c:numLit>
          </c:val>
        </c:ser>
        <c:ser>
          <c:idx val="8"/>
          <c:order val="8"/>
          <c:tx>
            <c:v>Clear Direct</c:v>
          </c:tx>
          <c:spPr>
            <a:ln w="381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Lit>
              <c:formatCode>General</c:formatCode>
              <c:ptCount val="11"/>
              <c:pt idx="0">
                <c:v>37</c:v>
              </c:pt>
              <c:pt idx="1">
                <c:v>85</c:v>
              </c:pt>
              <c:pt idx="2">
                <c:v>138</c:v>
              </c:pt>
              <c:pt idx="3">
                <c:v>187</c:v>
              </c:pt>
              <c:pt idx="4">
                <c:v>220</c:v>
              </c:pt>
              <c:pt idx="5">
                <c:v>231</c:v>
              </c:pt>
              <c:pt idx="6">
                <c:v>220</c:v>
              </c:pt>
              <c:pt idx="7">
                <c:v>187</c:v>
              </c:pt>
              <c:pt idx="8">
                <c:v>138</c:v>
              </c:pt>
              <c:pt idx="9">
                <c:v>85</c:v>
              </c:pt>
              <c:pt idx="10">
                <c:v>37</c:v>
              </c:pt>
            </c:numLit>
          </c:val>
        </c:ser>
        <c:dLbls>
          <c:showVal val="1"/>
        </c:dLbls>
        <c:marker val="1"/>
        <c:axId val="44038016"/>
        <c:axId val="44039552"/>
      </c:lineChart>
      <c:catAx>
        <c:axId val="440380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39552"/>
        <c:crosses val="autoZero"/>
        <c:auto val="1"/>
        <c:lblAlgn val="ctr"/>
        <c:lblOffset val="100"/>
      </c:catAx>
      <c:valAx>
        <c:axId val="440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3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Irradiance Comparison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v>Clear Diffuse</c:v>
          </c:tx>
          <c:spPr>
            <a:ln w="381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47.318870219476224</c:v>
              </c:pt>
              <c:pt idx="1">
                <c:v>91.483149090987396</c:v>
              </c:pt>
              <c:pt idx="2">
                <c:v>126.1836539186033</c:v>
              </c:pt>
              <c:pt idx="3">
                <c:v>157.72956739825398</c:v>
              </c:pt>
              <c:pt idx="4">
                <c:v>173.50252413807951</c:v>
              </c:pt>
              <c:pt idx="5">
                <c:v>179.81170683400967</c:v>
              </c:pt>
              <c:pt idx="6">
                <c:v>173.50252413807951</c:v>
              </c:pt>
              <c:pt idx="7">
                <c:v>157.72956739825398</c:v>
              </c:pt>
              <c:pt idx="8">
                <c:v>126.1836539186033</c:v>
              </c:pt>
              <c:pt idx="9">
                <c:v>91.483149090987396</c:v>
              </c:pt>
              <c:pt idx="10">
                <c:v>47.318870219476224</c:v>
              </c:pt>
            </c:numLit>
          </c:val>
        </c:ser>
        <c:ser>
          <c:idx val="1"/>
          <c:order val="1"/>
          <c:tx>
            <c:v>Clear Total</c:v>
          </c:tx>
          <c:spPr>
            <a:ln w="381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164.03875009418408</c:v>
              </c:pt>
              <c:pt idx="1">
                <c:v>359.62341366801923</c:v>
              </c:pt>
              <c:pt idx="2">
                <c:v>561.51725993778439</c:v>
              </c:pt>
              <c:pt idx="3">
                <c:v>747.63814946772459</c:v>
              </c:pt>
              <c:pt idx="4">
                <c:v>867.5126206903974</c:v>
              </c:pt>
              <c:pt idx="5">
                <c:v>908.52230821394346</c:v>
              </c:pt>
              <c:pt idx="6">
                <c:v>867.5126206903974</c:v>
              </c:pt>
              <c:pt idx="7">
                <c:v>747.63814946772459</c:v>
              </c:pt>
              <c:pt idx="8">
                <c:v>561.51725993778439</c:v>
              </c:pt>
              <c:pt idx="9">
                <c:v>359.62341366801923</c:v>
              </c:pt>
              <c:pt idx="10">
                <c:v>164.03875009418408</c:v>
              </c:pt>
            </c:numLit>
          </c:val>
        </c:ser>
        <c:ser>
          <c:idx val="2"/>
          <c:order val="2"/>
          <c:tx>
            <c:v>Mild Direct</c:v>
          </c:tx>
          <c:spPr>
            <a:ln w="381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69.401009655231917</c:v>
              </c:pt>
              <c:pt idx="1">
                <c:v>170.34793279011438</c:v>
              </c:pt>
              <c:pt idx="2">
                <c:v>283.9132213168574</c:v>
              </c:pt>
              <c:pt idx="3">
                <c:v>388.01473579970508</c:v>
              </c:pt>
              <c:pt idx="4">
                <c:v>460.57033680290169</c:v>
              </c:pt>
              <c:pt idx="5">
                <c:v>488.96165893458721</c:v>
              </c:pt>
              <c:pt idx="6">
                <c:v>460.57033680290169</c:v>
              </c:pt>
              <c:pt idx="7">
                <c:v>388.01473579970508</c:v>
              </c:pt>
              <c:pt idx="8">
                <c:v>283.9132213168574</c:v>
              </c:pt>
              <c:pt idx="9">
                <c:v>170.34793279011438</c:v>
              </c:pt>
              <c:pt idx="10">
                <c:v>69.401009655231917</c:v>
              </c:pt>
            </c:numLit>
          </c:val>
        </c:ser>
        <c:ser>
          <c:idx val="3"/>
          <c:order val="3"/>
          <c:tx>
            <c:v>Mild Diffuse</c:v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50.473461567441191</c:v>
              </c:pt>
              <c:pt idx="1">
                <c:v>97.792331786917572</c:v>
              </c:pt>
              <c:pt idx="2">
                <c:v>138.80201931046406</c:v>
              </c:pt>
              <c:pt idx="3">
                <c:v>170.34793279011438</c:v>
              </c:pt>
              <c:pt idx="4">
                <c:v>192.43007222586982</c:v>
              </c:pt>
              <c:pt idx="5">
                <c:v>198.73925492179981</c:v>
              </c:pt>
              <c:pt idx="6">
                <c:v>192.43007222586982</c:v>
              </c:pt>
              <c:pt idx="7">
                <c:v>170.34793279011438</c:v>
              </c:pt>
              <c:pt idx="8">
                <c:v>138.80201931046406</c:v>
              </c:pt>
              <c:pt idx="9">
                <c:v>97.792331786917572</c:v>
              </c:pt>
              <c:pt idx="10">
                <c:v>50.473461567441191</c:v>
              </c:pt>
            </c:numLit>
          </c:val>
        </c:ser>
        <c:ser>
          <c:idx val="4"/>
          <c:order val="4"/>
          <c:tx>
            <c:v>Mild Total</c:v>
          </c:tx>
          <c:spPr>
            <a:ln w="381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119.87447122267297</c:v>
              </c:pt>
              <c:pt idx="1">
                <c:v>268.14026457703238</c:v>
              </c:pt>
              <c:pt idx="2">
                <c:v>422.71524062732146</c:v>
              </c:pt>
              <c:pt idx="3">
                <c:v>558.36266858981799</c:v>
              </c:pt>
              <c:pt idx="4">
                <c:v>653.00040902877254</c:v>
              </c:pt>
              <c:pt idx="5">
                <c:v>687.70091385638852</c:v>
              </c:pt>
              <c:pt idx="6">
                <c:v>653.00040902877254</c:v>
              </c:pt>
              <c:pt idx="7">
                <c:v>558.36266858981799</c:v>
              </c:pt>
              <c:pt idx="8">
                <c:v>422.71524062732146</c:v>
              </c:pt>
              <c:pt idx="9">
                <c:v>268.14026457703238</c:v>
              </c:pt>
              <c:pt idx="10">
                <c:v>119.87447122267297</c:v>
              </c:pt>
            </c:numLit>
          </c:val>
        </c:ser>
        <c:ser>
          <c:idx val="5"/>
          <c:order val="5"/>
          <c:tx>
            <c:v>Cloudy Direct</c:v>
          </c:tx>
          <c:spPr>
            <a:ln w="381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28.391322131685726</c:v>
              </c:pt>
              <c:pt idx="1">
                <c:v>78.864783699127187</c:v>
              </c:pt>
              <c:pt idx="2">
                <c:v>141.95661065842881</c:v>
              </c:pt>
              <c:pt idx="3">
                <c:v>201.89384626976525</c:v>
              </c:pt>
              <c:pt idx="4">
                <c:v>249.2127164892415</c:v>
              </c:pt>
              <c:pt idx="5">
                <c:v>264.985673229067</c:v>
              </c:pt>
              <c:pt idx="6">
                <c:v>249.2127164892415</c:v>
              </c:pt>
              <c:pt idx="7">
                <c:v>201.89384626976525</c:v>
              </c:pt>
              <c:pt idx="8">
                <c:v>141.95661065842881</c:v>
              </c:pt>
              <c:pt idx="9">
                <c:v>78.864783699127187</c:v>
              </c:pt>
              <c:pt idx="10">
                <c:v>28.391322131685726</c:v>
              </c:pt>
            </c:numLit>
          </c:val>
        </c:ser>
        <c:ser>
          <c:idx val="6"/>
          <c:order val="6"/>
          <c:tx>
            <c:v>Cloudy Diffuse</c:v>
          </c:tx>
          <c:spPr>
            <a:ln w="381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50.473461567441191</c:v>
              </c:pt>
              <c:pt idx="1">
                <c:v>97.792331786917572</c:v>
              </c:pt>
              <c:pt idx="2">
                <c:v>138.80201931046406</c:v>
              </c:pt>
              <c:pt idx="3">
                <c:v>170.34793279011438</c:v>
              </c:pt>
              <c:pt idx="4">
                <c:v>189.27548087790501</c:v>
              </c:pt>
              <c:pt idx="5">
                <c:v>195.58466357383512</c:v>
              </c:pt>
              <c:pt idx="6">
                <c:v>189.27548087790501</c:v>
              </c:pt>
              <c:pt idx="7">
                <c:v>170.34793279011438</c:v>
              </c:pt>
              <c:pt idx="8">
                <c:v>138.80201931046406</c:v>
              </c:pt>
              <c:pt idx="9">
                <c:v>97.792331786917572</c:v>
              </c:pt>
              <c:pt idx="10">
                <c:v>50.473461567441191</c:v>
              </c:pt>
            </c:numLit>
          </c:val>
        </c:ser>
        <c:ser>
          <c:idx val="7"/>
          <c:order val="7"/>
          <c:tx>
            <c:v>Cloudy Total</c:v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78.864783699127187</c:v>
              </c:pt>
              <c:pt idx="1">
                <c:v>176.6571154860446</c:v>
              </c:pt>
              <c:pt idx="2">
                <c:v>280.7586299688918</c:v>
              </c:pt>
              <c:pt idx="3">
                <c:v>372.24177905987921</c:v>
              </c:pt>
              <c:pt idx="4">
                <c:v>438.48819736714597</c:v>
              </c:pt>
              <c:pt idx="5">
                <c:v>460.57033680290169</c:v>
              </c:pt>
              <c:pt idx="6">
                <c:v>438.48819736714597</c:v>
              </c:pt>
              <c:pt idx="7">
                <c:v>372.24177905987921</c:v>
              </c:pt>
              <c:pt idx="8">
                <c:v>280.7586299688918</c:v>
              </c:pt>
              <c:pt idx="9">
                <c:v>176.6571154860446</c:v>
              </c:pt>
              <c:pt idx="10">
                <c:v>78.864783699127187</c:v>
              </c:pt>
            </c:numLit>
          </c:val>
        </c:ser>
        <c:ser>
          <c:idx val="8"/>
          <c:order val="8"/>
          <c:tx>
            <c:v>Clear Direct</c:v>
          </c:tx>
          <c:spPr>
            <a:ln w="381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Lit>
              <c:formatCode>General</c:formatCode>
              <c:ptCount val="11"/>
              <c:pt idx="0">
                <c:v>116.71987987470804</c:v>
              </c:pt>
              <c:pt idx="1">
                <c:v>268.14026457703238</c:v>
              </c:pt>
              <c:pt idx="2">
                <c:v>435.33360601918133</c:v>
              </c:pt>
              <c:pt idx="3">
                <c:v>589.90858206947053</c:v>
              </c:pt>
              <c:pt idx="4">
                <c:v>694.01009655231803</c:v>
              </c:pt>
              <c:pt idx="5">
                <c:v>728.71060137993402</c:v>
              </c:pt>
              <c:pt idx="6">
                <c:v>694.01009655231803</c:v>
              </c:pt>
              <c:pt idx="7">
                <c:v>589.90858206947053</c:v>
              </c:pt>
              <c:pt idx="8">
                <c:v>435.33360601918133</c:v>
              </c:pt>
              <c:pt idx="9">
                <c:v>268.14026457703238</c:v>
              </c:pt>
              <c:pt idx="10">
                <c:v>116.71987987470804</c:v>
              </c:pt>
            </c:numLit>
          </c:val>
        </c:ser>
        <c:dLbls>
          <c:showVal val="1"/>
        </c:dLbls>
        <c:marker val="1"/>
        <c:axId val="44477056"/>
        <c:axId val="44487040"/>
      </c:lineChart>
      <c:catAx>
        <c:axId val="44477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87040"/>
        <c:crosses val="autoZero"/>
        <c:auto val="1"/>
        <c:lblAlgn val="ctr"/>
        <c:lblOffset val="100"/>
      </c:catAx>
      <c:valAx>
        <c:axId val="444870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Irradiance Comparison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v>Clear Diffuse</c:v>
          </c:tx>
          <c:spPr>
            <a:ln w="381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47.318870219476224</c:v>
              </c:pt>
              <c:pt idx="1">
                <c:v>91.483149090987396</c:v>
              </c:pt>
              <c:pt idx="2">
                <c:v>126.1836539186033</c:v>
              </c:pt>
              <c:pt idx="3">
                <c:v>157.72956739825398</c:v>
              </c:pt>
              <c:pt idx="4">
                <c:v>173.50252413807951</c:v>
              </c:pt>
              <c:pt idx="5">
                <c:v>179.81170683400967</c:v>
              </c:pt>
              <c:pt idx="6">
                <c:v>173.50252413807951</c:v>
              </c:pt>
              <c:pt idx="7">
                <c:v>157.72956739825398</c:v>
              </c:pt>
              <c:pt idx="8">
                <c:v>126.1836539186033</c:v>
              </c:pt>
              <c:pt idx="9">
                <c:v>91.483149090987396</c:v>
              </c:pt>
              <c:pt idx="10">
                <c:v>47.318870219476224</c:v>
              </c:pt>
            </c:numLit>
          </c:val>
        </c:ser>
        <c:ser>
          <c:idx val="1"/>
          <c:order val="1"/>
          <c:tx>
            <c:v>Clear Total</c:v>
          </c:tx>
          <c:spPr>
            <a:ln w="381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164.03875009418408</c:v>
              </c:pt>
              <c:pt idx="1">
                <c:v>359.62341366801923</c:v>
              </c:pt>
              <c:pt idx="2">
                <c:v>561.51725993778439</c:v>
              </c:pt>
              <c:pt idx="3">
                <c:v>747.63814946772459</c:v>
              </c:pt>
              <c:pt idx="4">
                <c:v>867.5126206903974</c:v>
              </c:pt>
              <c:pt idx="5">
                <c:v>908.52230821394346</c:v>
              </c:pt>
              <c:pt idx="6">
                <c:v>867.5126206903974</c:v>
              </c:pt>
              <c:pt idx="7">
                <c:v>747.63814946772459</c:v>
              </c:pt>
              <c:pt idx="8">
                <c:v>561.51725993778439</c:v>
              </c:pt>
              <c:pt idx="9">
                <c:v>359.62341366801923</c:v>
              </c:pt>
              <c:pt idx="10">
                <c:v>164.03875009418408</c:v>
              </c:pt>
            </c:numLit>
          </c:val>
        </c:ser>
        <c:ser>
          <c:idx val="2"/>
          <c:order val="2"/>
          <c:tx>
            <c:v>Mild Direct</c:v>
          </c:tx>
          <c:spPr>
            <a:ln w="381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69.401009655231917</c:v>
              </c:pt>
              <c:pt idx="1">
                <c:v>170.34793279011438</c:v>
              </c:pt>
              <c:pt idx="2">
                <c:v>283.9132213168574</c:v>
              </c:pt>
              <c:pt idx="3">
                <c:v>388.01473579970508</c:v>
              </c:pt>
              <c:pt idx="4">
                <c:v>460.57033680290169</c:v>
              </c:pt>
              <c:pt idx="5">
                <c:v>488.96165893458721</c:v>
              </c:pt>
              <c:pt idx="6">
                <c:v>460.57033680290169</c:v>
              </c:pt>
              <c:pt idx="7">
                <c:v>388.01473579970508</c:v>
              </c:pt>
              <c:pt idx="8">
                <c:v>283.9132213168574</c:v>
              </c:pt>
              <c:pt idx="9">
                <c:v>170.34793279011438</c:v>
              </c:pt>
              <c:pt idx="10">
                <c:v>69.401009655231917</c:v>
              </c:pt>
            </c:numLit>
          </c:val>
        </c:ser>
        <c:ser>
          <c:idx val="3"/>
          <c:order val="3"/>
          <c:tx>
            <c:v>Mild Diffuse</c:v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50.473461567441191</c:v>
              </c:pt>
              <c:pt idx="1">
                <c:v>97.792331786917572</c:v>
              </c:pt>
              <c:pt idx="2">
                <c:v>138.80201931046406</c:v>
              </c:pt>
              <c:pt idx="3">
                <c:v>170.34793279011438</c:v>
              </c:pt>
              <c:pt idx="4">
                <c:v>192.43007222586982</c:v>
              </c:pt>
              <c:pt idx="5">
                <c:v>198.73925492179981</c:v>
              </c:pt>
              <c:pt idx="6">
                <c:v>192.43007222586982</c:v>
              </c:pt>
              <c:pt idx="7">
                <c:v>170.34793279011438</c:v>
              </c:pt>
              <c:pt idx="8">
                <c:v>138.80201931046406</c:v>
              </c:pt>
              <c:pt idx="9">
                <c:v>97.792331786917572</c:v>
              </c:pt>
              <c:pt idx="10">
                <c:v>50.473461567441191</c:v>
              </c:pt>
            </c:numLit>
          </c:val>
        </c:ser>
        <c:ser>
          <c:idx val="4"/>
          <c:order val="4"/>
          <c:tx>
            <c:v>Mild Total</c:v>
          </c:tx>
          <c:spPr>
            <a:ln w="381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119.87447122267297</c:v>
              </c:pt>
              <c:pt idx="1">
                <c:v>268.14026457703238</c:v>
              </c:pt>
              <c:pt idx="2">
                <c:v>422.71524062732146</c:v>
              </c:pt>
              <c:pt idx="3">
                <c:v>558.36266858981799</c:v>
              </c:pt>
              <c:pt idx="4">
                <c:v>653.00040902877254</c:v>
              </c:pt>
              <c:pt idx="5">
                <c:v>687.70091385638852</c:v>
              </c:pt>
              <c:pt idx="6">
                <c:v>653.00040902877254</c:v>
              </c:pt>
              <c:pt idx="7">
                <c:v>558.36266858981799</c:v>
              </c:pt>
              <c:pt idx="8">
                <c:v>422.71524062732146</c:v>
              </c:pt>
              <c:pt idx="9">
                <c:v>268.14026457703238</c:v>
              </c:pt>
              <c:pt idx="10">
                <c:v>119.87447122267297</c:v>
              </c:pt>
            </c:numLit>
          </c:val>
        </c:ser>
        <c:ser>
          <c:idx val="5"/>
          <c:order val="5"/>
          <c:tx>
            <c:v>Cloudy Direct</c:v>
          </c:tx>
          <c:spPr>
            <a:ln w="381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28.391322131685726</c:v>
              </c:pt>
              <c:pt idx="1">
                <c:v>78.864783699127187</c:v>
              </c:pt>
              <c:pt idx="2">
                <c:v>141.95661065842881</c:v>
              </c:pt>
              <c:pt idx="3">
                <c:v>201.89384626976525</c:v>
              </c:pt>
              <c:pt idx="4">
                <c:v>249.2127164892415</c:v>
              </c:pt>
              <c:pt idx="5">
                <c:v>264.985673229067</c:v>
              </c:pt>
              <c:pt idx="6">
                <c:v>249.2127164892415</c:v>
              </c:pt>
              <c:pt idx="7">
                <c:v>201.89384626976525</c:v>
              </c:pt>
              <c:pt idx="8">
                <c:v>141.95661065842881</c:v>
              </c:pt>
              <c:pt idx="9">
                <c:v>78.864783699127187</c:v>
              </c:pt>
              <c:pt idx="10">
                <c:v>28.391322131685726</c:v>
              </c:pt>
            </c:numLit>
          </c:val>
        </c:ser>
        <c:ser>
          <c:idx val="6"/>
          <c:order val="6"/>
          <c:tx>
            <c:v>Cloudy Diffuse</c:v>
          </c:tx>
          <c:spPr>
            <a:ln w="381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50.473461567441191</c:v>
              </c:pt>
              <c:pt idx="1">
                <c:v>97.792331786917572</c:v>
              </c:pt>
              <c:pt idx="2">
                <c:v>138.80201931046406</c:v>
              </c:pt>
              <c:pt idx="3">
                <c:v>170.34793279011438</c:v>
              </c:pt>
              <c:pt idx="4">
                <c:v>189.27548087790501</c:v>
              </c:pt>
              <c:pt idx="5">
                <c:v>195.58466357383512</c:v>
              </c:pt>
              <c:pt idx="6">
                <c:v>189.27548087790501</c:v>
              </c:pt>
              <c:pt idx="7">
                <c:v>170.34793279011438</c:v>
              </c:pt>
              <c:pt idx="8">
                <c:v>138.80201931046406</c:v>
              </c:pt>
              <c:pt idx="9">
                <c:v>97.792331786917572</c:v>
              </c:pt>
              <c:pt idx="10">
                <c:v>50.473461567441191</c:v>
              </c:pt>
            </c:numLit>
          </c:val>
        </c:ser>
        <c:ser>
          <c:idx val="7"/>
          <c:order val="7"/>
          <c:tx>
            <c:v>Cloudy Total</c:v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78.864783699127187</c:v>
              </c:pt>
              <c:pt idx="1">
                <c:v>176.6571154860446</c:v>
              </c:pt>
              <c:pt idx="2">
                <c:v>280.7586299688918</c:v>
              </c:pt>
              <c:pt idx="3">
                <c:v>372.24177905987921</c:v>
              </c:pt>
              <c:pt idx="4">
                <c:v>438.48819736714597</c:v>
              </c:pt>
              <c:pt idx="5">
                <c:v>460.57033680290169</c:v>
              </c:pt>
              <c:pt idx="6">
                <c:v>438.48819736714597</c:v>
              </c:pt>
              <c:pt idx="7">
                <c:v>372.24177905987921</c:v>
              </c:pt>
              <c:pt idx="8">
                <c:v>280.7586299688918</c:v>
              </c:pt>
              <c:pt idx="9">
                <c:v>176.6571154860446</c:v>
              </c:pt>
              <c:pt idx="10">
                <c:v>78.864783699127187</c:v>
              </c:pt>
            </c:numLit>
          </c:val>
        </c:ser>
        <c:ser>
          <c:idx val="8"/>
          <c:order val="8"/>
          <c:tx>
            <c:v>Clear Direct</c:v>
          </c:tx>
          <c:spPr>
            <a:ln w="381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Lit>
              <c:formatCode>General</c:formatCode>
              <c:ptCount val="11"/>
              <c:pt idx="0">
                <c:v>116.71987987470804</c:v>
              </c:pt>
              <c:pt idx="1">
                <c:v>268.14026457703238</c:v>
              </c:pt>
              <c:pt idx="2">
                <c:v>435.33360601918133</c:v>
              </c:pt>
              <c:pt idx="3">
                <c:v>589.90858206947053</c:v>
              </c:pt>
              <c:pt idx="4">
                <c:v>694.01009655231803</c:v>
              </c:pt>
              <c:pt idx="5">
                <c:v>728.71060137993402</c:v>
              </c:pt>
              <c:pt idx="6">
                <c:v>694.01009655231803</c:v>
              </c:pt>
              <c:pt idx="7">
                <c:v>589.90858206947053</c:v>
              </c:pt>
              <c:pt idx="8">
                <c:v>435.33360601918133</c:v>
              </c:pt>
              <c:pt idx="9">
                <c:v>268.14026457703238</c:v>
              </c:pt>
              <c:pt idx="10">
                <c:v>116.71987987470804</c:v>
              </c:pt>
            </c:numLit>
          </c:val>
        </c:ser>
        <c:dLbls>
          <c:showVal val="1"/>
        </c:dLbls>
        <c:marker val="1"/>
        <c:axId val="44518016"/>
        <c:axId val="44532096"/>
      </c:lineChart>
      <c:catAx>
        <c:axId val="445180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2096"/>
        <c:crosses val="autoZero"/>
        <c:auto val="1"/>
        <c:lblAlgn val="ctr"/>
        <c:lblOffset val="100"/>
      </c:catAx>
      <c:valAx>
        <c:axId val="44532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1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Irradiance Comparison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v>Clear Diffuse</c:v>
          </c:tx>
          <c:spPr>
            <a:ln w="381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47.318870219476224</c:v>
              </c:pt>
              <c:pt idx="1">
                <c:v>91.483149090987396</c:v>
              </c:pt>
              <c:pt idx="2">
                <c:v>126.1836539186033</c:v>
              </c:pt>
              <c:pt idx="3">
                <c:v>157.72956739825398</c:v>
              </c:pt>
              <c:pt idx="4">
                <c:v>173.50252413807951</c:v>
              </c:pt>
              <c:pt idx="5">
                <c:v>179.81170683400967</c:v>
              </c:pt>
              <c:pt idx="6">
                <c:v>173.50252413807951</c:v>
              </c:pt>
              <c:pt idx="7">
                <c:v>157.72956739825398</c:v>
              </c:pt>
              <c:pt idx="8">
                <c:v>126.1836539186033</c:v>
              </c:pt>
              <c:pt idx="9">
                <c:v>91.483149090987396</c:v>
              </c:pt>
              <c:pt idx="10">
                <c:v>47.318870219476224</c:v>
              </c:pt>
            </c:numLit>
          </c:val>
        </c:ser>
        <c:ser>
          <c:idx val="1"/>
          <c:order val="1"/>
          <c:tx>
            <c:v>Clear Total</c:v>
          </c:tx>
          <c:spPr>
            <a:ln w="381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164.03875009418408</c:v>
              </c:pt>
              <c:pt idx="1">
                <c:v>359.62341366801923</c:v>
              </c:pt>
              <c:pt idx="2">
                <c:v>561.51725993778439</c:v>
              </c:pt>
              <c:pt idx="3">
                <c:v>747.63814946772459</c:v>
              </c:pt>
              <c:pt idx="4">
                <c:v>867.5126206903974</c:v>
              </c:pt>
              <c:pt idx="5">
                <c:v>908.52230821394346</c:v>
              </c:pt>
              <c:pt idx="6">
                <c:v>867.5126206903974</c:v>
              </c:pt>
              <c:pt idx="7">
                <c:v>747.63814946772459</c:v>
              </c:pt>
              <c:pt idx="8">
                <c:v>561.51725993778439</c:v>
              </c:pt>
              <c:pt idx="9">
                <c:v>359.62341366801923</c:v>
              </c:pt>
              <c:pt idx="10">
                <c:v>164.03875009418408</c:v>
              </c:pt>
            </c:numLit>
          </c:val>
        </c:ser>
        <c:ser>
          <c:idx val="2"/>
          <c:order val="2"/>
          <c:tx>
            <c:v>Mild Direct</c:v>
          </c:tx>
          <c:spPr>
            <a:ln w="381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69.401009655231917</c:v>
              </c:pt>
              <c:pt idx="1">
                <c:v>170.34793279011438</c:v>
              </c:pt>
              <c:pt idx="2">
                <c:v>283.9132213168574</c:v>
              </c:pt>
              <c:pt idx="3">
                <c:v>388.01473579970508</c:v>
              </c:pt>
              <c:pt idx="4">
                <c:v>460.57033680290169</c:v>
              </c:pt>
              <c:pt idx="5">
                <c:v>488.96165893458721</c:v>
              </c:pt>
              <c:pt idx="6">
                <c:v>460.57033680290169</c:v>
              </c:pt>
              <c:pt idx="7">
                <c:v>388.01473579970508</c:v>
              </c:pt>
              <c:pt idx="8">
                <c:v>283.9132213168574</c:v>
              </c:pt>
              <c:pt idx="9">
                <c:v>170.34793279011438</c:v>
              </c:pt>
              <c:pt idx="10">
                <c:v>69.401009655231917</c:v>
              </c:pt>
            </c:numLit>
          </c:val>
        </c:ser>
        <c:ser>
          <c:idx val="3"/>
          <c:order val="3"/>
          <c:tx>
            <c:v>Mild Diffuse</c:v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50.473461567441191</c:v>
              </c:pt>
              <c:pt idx="1">
                <c:v>97.792331786917572</c:v>
              </c:pt>
              <c:pt idx="2">
                <c:v>138.80201931046406</c:v>
              </c:pt>
              <c:pt idx="3">
                <c:v>170.34793279011438</c:v>
              </c:pt>
              <c:pt idx="4">
                <c:v>192.43007222586982</c:v>
              </c:pt>
              <c:pt idx="5">
                <c:v>198.73925492179981</c:v>
              </c:pt>
              <c:pt idx="6">
                <c:v>192.43007222586982</c:v>
              </c:pt>
              <c:pt idx="7">
                <c:v>170.34793279011438</c:v>
              </c:pt>
              <c:pt idx="8">
                <c:v>138.80201931046406</c:v>
              </c:pt>
              <c:pt idx="9">
                <c:v>97.792331786917572</c:v>
              </c:pt>
              <c:pt idx="10">
                <c:v>50.473461567441191</c:v>
              </c:pt>
            </c:numLit>
          </c:val>
        </c:ser>
        <c:ser>
          <c:idx val="4"/>
          <c:order val="4"/>
          <c:tx>
            <c:v>Mild Total</c:v>
          </c:tx>
          <c:spPr>
            <a:ln w="381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119.87447122267297</c:v>
              </c:pt>
              <c:pt idx="1">
                <c:v>268.14026457703238</c:v>
              </c:pt>
              <c:pt idx="2">
                <c:v>422.71524062732146</c:v>
              </c:pt>
              <c:pt idx="3">
                <c:v>558.36266858981799</c:v>
              </c:pt>
              <c:pt idx="4">
                <c:v>653.00040902877254</c:v>
              </c:pt>
              <c:pt idx="5">
                <c:v>687.70091385638852</c:v>
              </c:pt>
              <c:pt idx="6">
                <c:v>653.00040902877254</c:v>
              </c:pt>
              <c:pt idx="7">
                <c:v>558.36266858981799</c:v>
              </c:pt>
              <c:pt idx="8">
                <c:v>422.71524062732146</c:v>
              </c:pt>
              <c:pt idx="9">
                <c:v>268.14026457703238</c:v>
              </c:pt>
              <c:pt idx="10">
                <c:v>119.87447122267297</c:v>
              </c:pt>
            </c:numLit>
          </c:val>
        </c:ser>
        <c:ser>
          <c:idx val="5"/>
          <c:order val="5"/>
          <c:tx>
            <c:v>Cloudy Direct</c:v>
          </c:tx>
          <c:spPr>
            <a:ln w="381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28.391322131685726</c:v>
              </c:pt>
              <c:pt idx="1">
                <c:v>78.864783699127187</c:v>
              </c:pt>
              <c:pt idx="2">
                <c:v>141.95661065842881</c:v>
              </c:pt>
              <c:pt idx="3">
                <c:v>201.89384626976525</c:v>
              </c:pt>
              <c:pt idx="4">
                <c:v>249.2127164892415</c:v>
              </c:pt>
              <c:pt idx="5">
                <c:v>264.985673229067</c:v>
              </c:pt>
              <c:pt idx="6">
                <c:v>249.2127164892415</c:v>
              </c:pt>
              <c:pt idx="7">
                <c:v>201.89384626976525</c:v>
              </c:pt>
              <c:pt idx="8">
                <c:v>141.95661065842881</c:v>
              </c:pt>
              <c:pt idx="9">
                <c:v>78.864783699127187</c:v>
              </c:pt>
              <c:pt idx="10">
                <c:v>28.391322131685726</c:v>
              </c:pt>
            </c:numLit>
          </c:val>
        </c:ser>
        <c:ser>
          <c:idx val="6"/>
          <c:order val="6"/>
          <c:tx>
            <c:v>Cloudy Diffuse</c:v>
          </c:tx>
          <c:spPr>
            <a:ln w="381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50.473461567441191</c:v>
              </c:pt>
              <c:pt idx="1">
                <c:v>97.792331786917572</c:v>
              </c:pt>
              <c:pt idx="2">
                <c:v>138.80201931046406</c:v>
              </c:pt>
              <c:pt idx="3">
                <c:v>170.34793279011438</c:v>
              </c:pt>
              <c:pt idx="4">
                <c:v>189.27548087790501</c:v>
              </c:pt>
              <c:pt idx="5">
                <c:v>195.58466357383512</c:v>
              </c:pt>
              <c:pt idx="6">
                <c:v>189.27548087790501</c:v>
              </c:pt>
              <c:pt idx="7">
                <c:v>170.34793279011438</c:v>
              </c:pt>
              <c:pt idx="8">
                <c:v>138.80201931046406</c:v>
              </c:pt>
              <c:pt idx="9">
                <c:v>97.792331786917572</c:v>
              </c:pt>
              <c:pt idx="10">
                <c:v>50.473461567441191</c:v>
              </c:pt>
            </c:numLit>
          </c:val>
        </c:ser>
        <c:ser>
          <c:idx val="7"/>
          <c:order val="7"/>
          <c:tx>
            <c:v>Cloudy Total</c:v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Lit>
              <c:formatCode>General</c:formatCode>
              <c:ptCount val="11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17</c:v>
              </c:pt>
            </c:numLit>
          </c:cat>
          <c:val>
            <c:numLit>
              <c:formatCode>General</c:formatCode>
              <c:ptCount val="11"/>
              <c:pt idx="0">
                <c:v>78.864783699127187</c:v>
              </c:pt>
              <c:pt idx="1">
                <c:v>176.6571154860446</c:v>
              </c:pt>
              <c:pt idx="2">
                <c:v>280.7586299688918</c:v>
              </c:pt>
              <c:pt idx="3">
                <c:v>372.24177905987921</c:v>
              </c:pt>
              <c:pt idx="4">
                <c:v>438.48819736714597</c:v>
              </c:pt>
              <c:pt idx="5">
                <c:v>460.57033680290169</c:v>
              </c:pt>
              <c:pt idx="6">
                <c:v>438.48819736714597</c:v>
              </c:pt>
              <c:pt idx="7">
                <c:v>372.24177905987921</c:v>
              </c:pt>
              <c:pt idx="8">
                <c:v>280.7586299688918</c:v>
              </c:pt>
              <c:pt idx="9">
                <c:v>176.6571154860446</c:v>
              </c:pt>
              <c:pt idx="10">
                <c:v>78.864783699127187</c:v>
              </c:pt>
            </c:numLit>
          </c:val>
        </c:ser>
        <c:ser>
          <c:idx val="8"/>
          <c:order val="8"/>
          <c:tx>
            <c:v>Clear Direct</c:v>
          </c:tx>
          <c:spPr>
            <a:ln w="381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Lit>
              <c:formatCode>General</c:formatCode>
              <c:ptCount val="11"/>
              <c:pt idx="0">
                <c:v>116.71987987470804</c:v>
              </c:pt>
              <c:pt idx="1">
                <c:v>268.14026457703238</c:v>
              </c:pt>
              <c:pt idx="2">
                <c:v>435.33360601918133</c:v>
              </c:pt>
              <c:pt idx="3">
                <c:v>589.90858206947053</c:v>
              </c:pt>
              <c:pt idx="4">
                <c:v>694.01009655231803</c:v>
              </c:pt>
              <c:pt idx="5">
                <c:v>728.71060137993402</c:v>
              </c:pt>
              <c:pt idx="6">
                <c:v>694.01009655231803</c:v>
              </c:pt>
              <c:pt idx="7">
                <c:v>589.90858206947053</c:v>
              </c:pt>
              <c:pt idx="8">
                <c:v>435.33360601918133</c:v>
              </c:pt>
              <c:pt idx="9">
                <c:v>268.14026457703238</c:v>
              </c:pt>
              <c:pt idx="10">
                <c:v>116.71987987470804</c:v>
              </c:pt>
            </c:numLit>
          </c:val>
        </c:ser>
        <c:dLbls>
          <c:showVal val="1"/>
        </c:dLbls>
        <c:marker val="1"/>
        <c:axId val="44563456"/>
        <c:axId val="44573440"/>
      </c:lineChart>
      <c:catAx>
        <c:axId val="445634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73440"/>
        <c:crosses val="autoZero"/>
        <c:auto val="1"/>
        <c:lblAlgn val="ctr"/>
        <c:lblOffset val="100"/>
      </c:catAx>
      <c:valAx>
        <c:axId val="44573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IAM Test Values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'IAM (Numerical)'!$B$2:$J$2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</c:numCache>
            </c:numRef>
          </c:xVal>
          <c:yVal>
            <c:numRef>
              <c:f>'IAM (Numerical)'!$B$3:$J$3</c:f>
              <c:numCache>
                <c:formatCode>0.000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</c:ser>
        <c:axId val="44691840"/>
        <c:axId val="44694144"/>
      </c:scatterChart>
      <c:valAx>
        <c:axId val="446918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Incidence</a:t>
                </a:r>
                <a:r>
                  <a:rPr lang="en-US" baseline="0"/>
                  <a:t> Angle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4144"/>
        <c:crosses val="autoZero"/>
        <c:crossBetween val="midCat"/>
      </c:valAx>
      <c:valAx>
        <c:axId val="446941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IAM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1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IAM by Linear Interpolation / Extrapolation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"/>
            <c:marker>
              <c:spPr>
                <a:solidFill>
                  <a:srgbClr val="FF33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6"/>
            <c:marker>
              <c:spPr>
                <a:solidFill>
                  <a:srgbClr val="FF33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10"/>
            <c:marker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</c:dPt>
          <c:xVal>
            <c:numRef>
              <c:f>'IAM (Numerical)'!$B$25:$M$25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75</c:v>
                </c:pt>
                <c:pt idx="11">
                  <c:v>90</c:v>
                </c:pt>
              </c:numCache>
            </c:numRef>
          </c:xVal>
          <c:yVal>
            <c:numRef>
              <c:f>'IAM (Numerical)'!$B$26:$M$26</c:f>
              <c:numCache>
                <c:formatCode>0.000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</c:ser>
        <c:axId val="44739968"/>
        <c:axId val="44836352"/>
      </c:scatterChart>
      <c:valAx>
        <c:axId val="447399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Incident Angle,</a:t>
                </a:r>
                <a:r>
                  <a:rPr lang="en-US" baseline="0"/>
                  <a:t> </a:t>
                </a:r>
                <a:r>
                  <a:rPr lang="el-GR" baseline="0"/>
                  <a:t>θ</a:t>
                </a:r>
                <a:r>
                  <a:rPr lang="en-US" baseline="0"/>
                  <a:t> degrees</a:t>
                </a:r>
                <a:endParaRPr lang="en-US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36352"/>
        <c:crosses val="autoZero"/>
        <c:crossBetween val="midCat"/>
      </c:valAx>
      <c:valAx>
        <c:axId val="44836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IAM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39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87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710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5</xdr:col>
      <xdr:colOff>523879</xdr:colOff>
      <xdr:row>5</xdr:row>
      <xdr:rowOff>95250</xdr:rowOff>
    </xdr:from>
    <xdr:to>
      <xdr:col>7</xdr:col>
      <xdr:colOff>496917</xdr:colOff>
      <xdr:row>12</xdr:row>
      <xdr:rowOff>41910</xdr:rowOff>
    </xdr:to>
    <xdr:pic>
      <xdr:nvPicPr>
        <xdr:cNvPr id="4" name="Picture 3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9" y="1066800"/>
          <a:ext cx="2068538" cy="128016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19</xdr:row>
      <xdr:rowOff>180974</xdr:rowOff>
    </xdr:from>
    <xdr:to>
      <xdr:col>8</xdr:col>
      <xdr:colOff>0</xdr:colOff>
      <xdr:row>31</xdr:row>
      <xdr:rowOff>95250</xdr:rowOff>
    </xdr:to>
    <xdr:sp macro="" textlink="">
      <xdr:nvSpPr>
        <xdr:cNvPr id="5" name="TextBox 4"/>
        <xdr:cNvSpPr txBox="1"/>
      </xdr:nvSpPr>
      <xdr:spPr>
        <a:xfrm>
          <a:off x="5905500" y="3819524"/>
          <a:ext cx="3143250" cy="2200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Note:</a:t>
          </a:r>
        </a:p>
        <a:p>
          <a:r>
            <a:rPr lang="en-US" sz="1100"/>
            <a:t>1)</a:t>
          </a:r>
          <a:r>
            <a:rPr lang="en-US" sz="1100" baseline="0"/>
            <a:t>  Completion of all fields on this Input Data worksheet will  result in a fully populated "Certification (Tested)" worksheet.</a:t>
          </a:r>
        </a:p>
        <a:p>
          <a:endParaRPr lang="en-US" sz="1100" baseline="0"/>
        </a:p>
        <a:p>
          <a:r>
            <a:rPr lang="en-US" sz="1100" baseline="0"/>
            <a:t>2)  For collector rating results only, enter the  gross area in cell C31, the performance parameters (cells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C77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through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C79), and the incidence angle modifiers (cells D86 through J86),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obtained from the laboratory test report.  Only the ratings fields in the "Certification (Tested)" worksheet will be populated.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7</xdr:col>
      <xdr:colOff>20663</xdr:colOff>
      <xdr:row>8</xdr:row>
      <xdr:rowOff>108585</xdr:rowOff>
    </xdr:to>
    <xdr:pic>
      <xdr:nvPicPr>
        <xdr:cNvPr id="2" name="Picture 1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381000"/>
          <a:ext cx="2068538" cy="128016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0</xdr:rowOff>
    </xdr:from>
    <xdr:to>
      <xdr:col>18</xdr:col>
      <xdr:colOff>304800</xdr:colOff>
      <xdr:row>37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18</xdr:col>
      <xdr:colOff>304800</xdr:colOff>
      <xdr:row>57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17319</xdr:colOff>
      <xdr:row>3</xdr:row>
      <xdr:rowOff>121228</xdr:rowOff>
    </xdr:from>
    <xdr:to>
      <xdr:col>18</xdr:col>
      <xdr:colOff>322119</xdr:colOff>
      <xdr:row>18</xdr:row>
      <xdr:rowOff>6927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180976</xdr:colOff>
      <xdr:row>60</xdr:row>
      <xdr:rowOff>95249</xdr:rowOff>
    </xdr:from>
    <xdr:to>
      <xdr:col>19</xdr:col>
      <xdr:colOff>171450</xdr:colOff>
      <xdr:row>79</xdr:row>
      <xdr:rowOff>142874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180976</xdr:colOff>
      <xdr:row>60</xdr:row>
      <xdr:rowOff>95250</xdr:rowOff>
    </xdr:from>
    <xdr:to>
      <xdr:col>19</xdr:col>
      <xdr:colOff>161926</xdr:colOff>
      <xdr:row>77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180976</xdr:colOff>
      <xdr:row>60</xdr:row>
      <xdr:rowOff>95250</xdr:rowOff>
    </xdr:from>
    <xdr:to>
      <xdr:col>19</xdr:col>
      <xdr:colOff>161926</xdr:colOff>
      <xdr:row>77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180976</xdr:colOff>
      <xdr:row>60</xdr:row>
      <xdr:rowOff>95250</xdr:rowOff>
    </xdr:from>
    <xdr:to>
      <xdr:col>18</xdr:col>
      <xdr:colOff>409575</xdr:colOff>
      <xdr:row>79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95249</xdr:rowOff>
    </xdr:from>
    <xdr:to>
      <xdr:col>4</xdr:col>
      <xdr:colOff>714374</xdr:colOff>
      <xdr:row>22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3</xdr:row>
      <xdr:rowOff>66676</xdr:rowOff>
    </xdr:from>
    <xdr:to>
      <xdr:col>11</xdr:col>
      <xdr:colOff>847726</xdr:colOff>
      <xdr:row>22</xdr:row>
      <xdr:rowOff>161926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0</xdr:colOff>
      <xdr:row>3</xdr:row>
      <xdr:rowOff>0</xdr:rowOff>
    </xdr:from>
    <xdr:to>
      <xdr:col>14</xdr:col>
      <xdr:colOff>182588</xdr:colOff>
      <xdr:row>9</xdr:row>
      <xdr:rowOff>137160</xdr:rowOff>
    </xdr:to>
    <xdr:pic>
      <xdr:nvPicPr>
        <xdr:cNvPr id="6" name="Picture 5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658475" y="647700"/>
          <a:ext cx="2068538" cy="128016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7</xdr:row>
      <xdr:rowOff>0</xdr:rowOff>
    </xdr:from>
    <xdr:to>
      <xdr:col>15</xdr:col>
      <xdr:colOff>0</xdr:colOff>
      <xdr:row>24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7</xdr:row>
      <xdr:rowOff>28575</xdr:rowOff>
    </xdr:from>
    <xdr:to>
      <xdr:col>4</xdr:col>
      <xdr:colOff>1</xdr:colOff>
      <xdr:row>24</xdr:row>
      <xdr:rowOff>133351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314325</xdr:colOff>
      <xdr:row>7</xdr:row>
      <xdr:rowOff>1</xdr:rowOff>
    </xdr:from>
    <xdr:to>
      <xdr:col>10</xdr:col>
      <xdr:colOff>276225</xdr:colOff>
      <xdr:row>24</xdr:row>
      <xdr:rowOff>152401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195262</xdr:colOff>
      <xdr:row>34</xdr:row>
      <xdr:rowOff>9524</xdr:rowOff>
    </xdr:from>
    <xdr:to>
      <xdr:col>6</xdr:col>
      <xdr:colOff>266701</xdr:colOff>
      <xdr:row>56</xdr:row>
      <xdr:rowOff>104775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14</xdr:row>
      <xdr:rowOff>9526</xdr:rowOff>
    </xdr:from>
    <xdr:to>
      <xdr:col>9</xdr:col>
      <xdr:colOff>600075</xdr:colOff>
      <xdr:row>35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14</xdr:row>
      <xdr:rowOff>0</xdr:rowOff>
    </xdr:from>
    <xdr:to>
      <xdr:col>12</xdr:col>
      <xdr:colOff>639788</xdr:colOff>
      <xdr:row>20</xdr:row>
      <xdr:rowOff>137160</xdr:rowOff>
    </xdr:to>
    <xdr:pic>
      <xdr:nvPicPr>
        <xdr:cNvPr id="4" name="Picture 3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91625" y="3105150"/>
          <a:ext cx="2068538" cy="128016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</xdr:colOff>
      <xdr:row>1</xdr:row>
      <xdr:rowOff>0</xdr:rowOff>
    </xdr:from>
    <xdr:to>
      <xdr:col>15</xdr:col>
      <xdr:colOff>492036</xdr:colOff>
      <xdr:row>6</xdr:row>
      <xdr:rowOff>121920</xdr:rowOff>
    </xdr:to>
    <xdr:pic>
      <xdr:nvPicPr>
        <xdr:cNvPr id="2" name="Picture 1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6876" y="190500"/>
          <a:ext cx="1920785" cy="118872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793305</xdr:colOff>
      <xdr:row>29</xdr:row>
      <xdr:rowOff>55594</xdr:rowOff>
    </xdr:from>
    <xdr:ext cx="2510687" cy="342786"/>
    <mc:AlternateContent xmlns:mc="http://schemas.openxmlformats.org/markup-compatibility/2006">
      <mc:Choice xmlns:a14="http://schemas.microsoft.com/office/drawing/2010/main" xmlns="" Requires="a14">
        <xdr:sp macro="" textlink="">
          <xdr:nvSpPr>
            <xdr:cNvPr id="3" name="TextBox 2"/>
            <xdr:cNvSpPr txBox="1"/>
          </xdr:nvSpPr>
          <xdr:spPr>
            <a:xfrm>
              <a:off x="2241105" y="7237444"/>
              <a:ext cx="2510687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</a:rPr>
                      <m:t>η</m:t>
                    </m:r>
                    <m:r>
                      <a:rPr lang="en-US" sz="1100" b="0" i="1" baseline="-25000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lang="en-US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den>
                        </m:f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  <m:r>
                                  <a:rPr lang="en-US" sz="1100" b="0" i="1" baseline="-250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𝑖𝑛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𝑡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2241105" y="7237444"/>
              <a:ext cx="2510687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η</a:t>
              </a:r>
              <a:r>
                <a:rPr lang="en-US" sz="1100" b="0" i="0" baseline="-25000">
                  <a:latin typeface="Cambria Math" panose="02040503050406030204" pitchFamily="18" charset="0"/>
                </a:rPr>
                <a:t>𝐺</a:t>
              </a:r>
              <a:r>
                <a:rPr lang="en-US" sz="1100" i="0">
                  <a:latin typeface="Cambria Math" panose="02040503050406030204" pitchFamily="18" charset="0"/>
                </a:rPr>
                <a:t>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η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0  −𝑎_1 </a:t>
              </a:r>
              <a:r>
                <a:rPr lang="en-US" sz="1100" i="0">
                  <a:latin typeface="Cambria Math" panose="02040503050406030204" pitchFamily="18" charset="0"/>
                </a:rPr>
                <a:t>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−𝑡_𝑎)/</a:t>
              </a:r>
              <a:r>
                <a:rPr lang="en-US" sz="1100" b="0" i="0">
                  <a:latin typeface="Cambria Math" panose="02040503050406030204" pitchFamily="18" charset="0"/>
                </a:rPr>
                <a:t>𝐺)−𝑎_2 𝐺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−𝑡_𝑎)/𝐺)^</a:t>
              </a:r>
              <a:r>
                <a:rPr lang="en-U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781050</xdr:colOff>
      <xdr:row>28</xdr:row>
      <xdr:rowOff>0</xdr:rowOff>
    </xdr:from>
    <xdr:ext cx="65" cy="172227"/>
    <xdr:sp macro="" textlink="">
      <xdr:nvSpPr>
        <xdr:cNvPr id="4" name="TextBox 3"/>
        <xdr:cNvSpPr txBox="1"/>
      </xdr:nvSpPr>
      <xdr:spPr>
        <a:xfrm>
          <a:off x="8582025" y="3357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266700</xdr:colOff>
      <xdr:row>29</xdr:row>
      <xdr:rowOff>76200</xdr:rowOff>
    </xdr:from>
    <xdr:ext cx="1438920" cy="309315"/>
    <mc:AlternateContent xmlns:mc="http://schemas.openxmlformats.org/markup-compatibility/2006">
      <mc:Choice xmlns:a14="http://schemas.microsoft.com/office/drawing/2010/main" xmlns="" Requires="a14">
        <xdr:sp macro="" textlink="">
          <xdr:nvSpPr>
            <xdr:cNvPr id="6" name="TextBox 5"/>
            <xdr:cNvSpPr txBox="1"/>
          </xdr:nvSpPr>
          <xdr:spPr>
            <a:xfrm>
              <a:off x="7934325" y="7010400"/>
              <a:ext cx="1438920" cy="3093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</a:rPr>
                      <m:t>η</m:t>
                    </m:r>
                    <m:r>
                      <a:rPr lang="en-US" sz="1100" b="0" i="1" baseline="-25000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d>
                      <m:d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lang="en-US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𝑡𝑎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6" name="TextBox 5"/>
            <xdr:cNvSpPr txBox="1"/>
          </xdr:nvSpPr>
          <xdr:spPr>
            <a:xfrm>
              <a:off x="7934325" y="7010400"/>
              <a:ext cx="1438920" cy="3093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sz="1100" i="0">
                  <a:latin typeface="Cambria Math" panose="02040503050406030204" pitchFamily="18" charset="0"/>
                </a:rPr>
                <a:t>η</a:t>
              </a:r>
              <a:r>
                <a:rPr lang="en-US" sz="1100" b="0" i="0" baseline="-25000">
                  <a:latin typeface="Cambria Math" panose="02040503050406030204" pitchFamily="18" charset="0"/>
                </a:rPr>
                <a:t>𝐺</a:t>
              </a:r>
              <a:r>
                <a:rPr lang="en-US" sz="1100" i="0">
                  <a:latin typeface="Cambria Math" panose="02040503050406030204" pitchFamily="18" charset="0"/>
                </a:rPr>
                <a:t>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η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0𝐿  −𝑈</a:t>
              </a:r>
              <a:r>
                <a:rPr lang="en-US" sz="1100" i="0">
                  <a:latin typeface="Cambria Math" panose="02040503050406030204" pitchFamily="18" charset="0"/>
                </a:rPr>
                <a:t>((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−𝑡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𝑎)/</a:t>
              </a:r>
              <a:r>
                <a:rPr lang="en-US" sz="1100" b="0" i="0">
                  <a:latin typeface="Cambria Math" panose="02040503050406030204" pitchFamily="18" charset="0"/>
                </a:rPr>
                <a:t>𝐺)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880459</xdr:colOff>
      <xdr:row>37</xdr:row>
      <xdr:rowOff>6350</xdr:rowOff>
    </xdr:from>
    <xdr:ext cx="2160142" cy="433004"/>
    <mc:AlternateContent xmlns:mc="http://schemas.openxmlformats.org/markup-compatibility/2006">
      <mc:Choice xmlns:a14="http://schemas.microsoft.com/office/drawing/2010/main" xmlns="" Requires="a14">
        <xdr:sp macro="" textlink="">
          <xdr:nvSpPr>
            <xdr:cNvPr id="2" name="TextBox 1"/>
            <xdr:cNvSpPr txBox="1"/>
          </xdr:nvSpPr>
          <xdr:spPr>
            <a:xfrm>
              <a:off x="7300309" y="9169400"/>
              <a:ext cx="2160142" cy="433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  <m:r>
                      <a:rPr lang="en-US" sz="12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𝑎𝑠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lang="en-US" sz="120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bSup>
                              <m:sSubSupPr>
                                <m:ctrlP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en-US" sz="1200" i="1">
                                <a:latin typeface="Cambria Math" panose="02040503050406030204" pitchFamily="18" charset="0"/>
                              </a:rPr>
                              <m:t>4</m:t>
                            </m:r>
                            <m:sSub>
                              <m:sSubPr>
                                <m:ctrlPr>
                                  <a:rPr lang="en-US" sz="12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l-GR" sz="1200" i="1">
                                    <a:latin typeface="Cambria Math" panose="02040503050406030204" pitchFamily="18" charset="0"/>
                                  </a:rPr>
                                  <m:t>η</m:t>
                                </m:r>
                              </m:e>
                              <m:sub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𝑜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en-US" sz="12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en-US" sz="12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e>
                              <m:sub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b>
                            </m:sSub>
                          </m:e>
                        </m:rad>
                      </m:num>
                      <m:den>
                        <m:r>
                          <a:rPr lang="en-US" sz="1200" i="1">
                            <a:latin typeface="Cambria Math" panose="02040503050406030204" pitchFamily="18" charset="0"/>
                          </a:rPr>
                          <m:t>2</m:t>
                        </m:r>
                        <m:sSub>
                          <m:sSubPr>
                            <m:ctrlPr>
                              <a:rPr lang="en-US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7300309" y="9169400"/>
              <a:ext cx="2160142" cy="433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𝑡_𝑠</a:t>
              </a:r>
              <a:r>
                <a:rPr lang="en-US" sz="1200" i="0">
                  <a:latin typeface="Cambria Math" panose="02040503050406030204" pitchFamily="18" charset="0"/>
                </a:rPr>
                <a:t>=</a:t>
              </a:r>
              <a:r>
                <a:rPr lang="en-US" sz="1200" b="0" i="0">
                  <a:latin typeface="Cambria Math" panose="02040503050406030204" pitchFamily="18" charset="0"/>
                </a:rPr>
                <a:t>𝑡_𝑎𝑠+</a:t>
              </a:r>
              <a:r>
                <a:rPr lang="en-US" sz="1200" i="0">
                  <a:latin typeface="Cambria Math" panose="02040503050406030204" pitchFamily="18" charset="0"/>
                </a:rPr>
                <a:t>(−</a:t>
              </a:r>
              <a:r>
                <a:rPr lang="en-US" sz="1200" b="0" i="0">
                  <a:latin typeface="Cambria Math" panose="02040503050406030204" pitchFamily="18" charset="0"/>
                </a:rPr>
                <a:t>𝑎_1+√(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𝑎_1^2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n-US" sz="1200" i="0">
                  <a:latin typeface="Cambria Math" panose="02040503050406030204" pitchFamily="18" charset="0"/>
                </a:rPr>
                <a:t>4</a:t>
              </a:r>
              <a:r>
                <a:rPr lang="el-GR" sz="1200" i="0">
                  <a:latin typeface="Cambria Math" panose="02040503050406030204" pitchFamily="18" charset="0"/>
                </a:rPr>
                <a:t>η</a:t>
              </a:r>
              <a:r>
                <a:rPr lang="en-US" sz="1200" i="0">
                  <a:latin typeface="Cambria Math" panose="02040503050406030204" pitchFamily="18" charset="0"/>
                </a:rPr>
                <a:t>_</a:t>
              </a:r>
              <a:r>
                <a:rPr lang="en-US" sz="1200" b="0" i="0">
                  <a:latin typeface="Cambria Math" panose="02040503050406030204" pitchFamily="18" charset="0"/>
                </a:rPr>
                <a:t>𝑜 𝑎_2 𝐺_𝑠 ))/(</a:t>
              </a:r>
              <a:r>
                <a:rPr lang="en-US" sz="1200" i="0">
                  <a:latin typeface="Cambria Math" panose="02040503050406030204" pitchFamily="18" charset="0"/>
                </a:rPr>
                <a:t>2</a:t>
              </a:r>
              <a:r>
                <a:rPr lang="en-US" sz="1200" b="0" i="0">
                  <a:latin typeface="Cambria Math" panose="02040503050406030204" pitchFamily="18" charset="0"/>
                </a:rPr>
                <a:t>𝑎_2 )</a:t>
              </a:r>
              <a:endParaRPr lang="en-US" sz="1200"/>
            </a:p>
          </xdr:txBody>
        </xdr:sp>
      </mc:Fallback>
    </mc:AlternateContent>
    <xdr:clientData/>
  </xdr:oneCellAnchor>
  <xdr:twoCellAnchor editAs="oneCell">
    <xdr:from>
      <xdr:col>8</xdr:col>
      <xdr:colOff>447675</xdr:colOff>
      <xdr:row>0</xdr:row>
      <xdr:rowOff>0</xdr:rowOff>
    </xdr:from>
    <xdr:to>
      <xdr:col>9</xdr:col>
      <xdr:colOff>944126</xdr:colOff>
      <xdr:row>3</xdr:row>
      <xdr:rowOff>171450</xdr:rowOff>
    </xdr:to>
    <xdr:pic>
      <xdr:nvPicPr>
        <xdr:cNvPr id="9" name="Picture 8" descr="C:\Users\les.nelson\Documents\Letterhead, Envelopes, Bus Cards, Fax\Logos\IAPMO\Standard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29675" y="0"/>
          <a:ext cx="1477526" cy="914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91"/>
  <sheetViews>
    <sheetView zoomScaleNormal="100" workbookViewId="0">
      <selection activeCell="A89" sqref="A89"/>
    </sheetView>
  </sheetViews>
  <sheetFormatPr defaultRowHeight="15"/>
  <cols>
    <col min="1" max="2" width="20.7109375" style="316" customWidth="1"/>
    <col min="3" max="3" width="15.7109375" style="323" customWidth="1"/>
    <col min="4" max="4" width="15.7109375" style="326" customWidth="1"/>
    <col min="5" max="7" width="15.7109375" style="316" customWidth="1"/>
    <col min="8" max="14" width="15.7109375" style="315" customWidth="1"/>
    <col min="15" max="16" width="12.7109375" style="315" customWidth="1"/>
    <col min="17" max="18" width="9.140625" style="315"/>
    <col min="19" max="23" width="15.7109375" style="315" customWidth="1"/>
    <col min="24" max="16384" width="9.140625" style="315"/>
  </cols>
  <sheetData>
    <row r="1" spans="1:18" ht="15.75">
      <c r="A1" s="581" t="s">
        <v>250</v>
      </c>
      <c r="B1" s="581"/>
      <c r="C1" s="581"/>
      <c r="D1" s="581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8" ht="15.75" thickBot="1">
      <c r="A2" s="233"/>
      <c r="B2" s="233"/>
      <c r="C2" s="242"/>
      <c r="D2" s="233"/>
      <c r="E2" s="233"/>
      <c r="F2" s="233"/>
      <c r="G2" s="233"/>
      <c r="H2" s="272"/>
      <c r="I2" s="272"/>
      <c r="J2" s="272"/>
      <c r="K2" s="327"/>
      <c r="L2" s="327"/>
      <c r="M2" s="327"/>
      <c r="N2" s="272"/>
      <c r="O2" s="272"/>
    </row>
    <row r="3" spans="1:18" ht="15" customHeight="1" thickTop="1">
      <c r="A3" s="607" t="s">
        <v>101</v>
      </c>
      <c r="B3" s="608"/>
      <c r="C3" s="599"/>
      <c r="D3" s="600"/>
      <c r="G3" s="523"/>
      <c r="H3" s="317"/>
      <c r="I3" s="317"/>
      <c r="J3" s="317"/>
      <c r="K3" s="158"/>
      <c r="L3" s="259"/>
      <c r="M3" s="259"/>
      <c r="N3" s="317"/>
      <c r="O3" s="317"/>
    </row>
    <row r="4" spans="1:18" ht="15" customHeight="1">
      <c r="A4" s="609" t="s">
        <v>102</v>
      </c>
      <c r="B4" s="610"/>
      <c r="C4" s="601"/>
      <c r="D4" s="602"/>
      <c r="G4" s="524" t="s">
        <v>307</v>
      </c>
      <c r="H4" s="317"/>
      <c r="I4" s="317"/>
      <c r="J4" s="317"/>
      <c r="K4" s="324"/>
      <c r="L4" s="259"/>
      <c r="M4" s="259"/>
      <c r="N4" s="317"/>
      <c r="O4" s="318"/>
      <c r="P4" s="319"/>
      <c r="Q4" s="319"/>
    </row>
    <row r="5" spans="1:18" ht="15" customHeight="1" thickBot="1">
      <c r="A5" s="611" t="s">
        <v>19</v>
      </c>
      <c r="B5" s="612"/>
      <c r="C5" s="603"/>
      <c r="D5" s="604"/>
      <c r="H5" s="317"/>
      <c r="I5" s="317"/>
      <c r="J5" s="317"/>
      <c r="K5" s="324"/>
      <c r="L5" s="259"/>
      <c r="M5" s="259"/>
      <c r="N5" s="317"/>
      <c r="O5" s="318"/>
      <c r="P5" s="319"/>
      <c r="Q5" s="319"/>
    </row>
    <row r="6" spans="1:18" ht="15" customHeight="1" thickTop="1" thickBot="1">
      <c r="A6" s="596" t="s">
        <v>244</v>
      </c>
      <c r="B6" s="597"/>
      <c r="C6" s="597"/>
      <c r="D6" s="598"/>
      <c r="E6" s="315"/>
      <c r="F6" s="315"/>
      <c r="G6" s="315"/>
      <c r="K6" s="312"/>
      <c r="L6" s="312"/>
      <c r="M6" s="312"/>
      <c r="N6" s="313"/>
      <c r="O6" s="313"/>
      <c r="P6" s="276"/>
      <c r="Q6" s="274"/>
      <c r="R6" s="320"/>
    </row>
    <row r="7" spans="1:18" ht="15" customHeight="1">
      <c r="A7" s="533" t="s">
        <v>106</v>
      </c>
      <c r="B7" s="534"/>
      <c r="C7" s="535"/>
      <c r="D7" s="536"/>
      <c r="E7" s="315"/>
      <c r="K7" s="312"/>
      <c r="L7" s="312"/>
      <c r="M7" s="312"/>
      <c r="N7" s="313"/>
      <c r="O7" s="313"/>
      <c r="P7" s="276"/>
      <c r="Q7" s="274"/>
      <c r="R7" s="320"/>
    </row>
    <row r="8" spans="1:18" ht="15" customHeight="1">
      <c r="A8" s="525" t="s">
        <v>248</v>
      </c>
      <c r="B8" s="526"/>
      <c r="C8" s="527"/>
      <c r="D8" s="528"/>
      <c r="E8" s="315"/>
      <c r="K8" s="312"/>
      <c r="L8" s="312"/>
      <c r="M8" s="312"/>
      <c r="N8" s="313"/>
      <c r="O8" s="313"/>
      <c r="P8" s="276"/>
      <c r="Q8" s="274"/>
      <c r="R8" s="320"/>
    </row>
    <row r="9" spans="1:18" ht="15" customHeight="1">
      <c r="A9" s="525" t="s">
        <v>249</v>
      </c>
      <c r="B9" s="526"/>
      <c r="C9" s="527"/>
      <c r="D9" s="528"/>
      <c r="E9" s="315"/>
      <c r="K9" s="312"/>
      <c r="L9" s="312"/>
      <c r="M9" s="312"/>
      <c r="N9" s="313"/>
      <c r="O9" s="313"/>
      <c r="P9" s="276"/>
      <c r="Q9" s="274"/>
      <c r="R9" s="320"/>
    </row>
    <row r="10" spans="1:18" ht="15" customHeight="1">
      <c r="A10" s="525" t="s">
        <v>249</v>
      </c>
      <c r="B10" s="526"/>
      <c r="C10" s="531"/>
      <c r="D10" s="532"/>
      <c r="E10" s="315"/>
      <c r="K10" s="312"/>
      <c r="L10" s="312"/>
      <c r="M10" s="312"/>
      <c r="N10" s="313"/>
      <c r="O10" s="313"/>
      <c r="P10" s="276"/>
      <c r="Q10" s="274"/>
      <c r="R10" s="320"/>
    </row>
    <row r="11" spans="1:18" ht="15" customHeight="1">
      <c r="A11" s="525" t="s">
        <v>306</v>
      </c>
      <c r="B11" s="526"/>
      <c r="C11" s="588"/>
      <c r="D11" s="589"/>
      <c r="E11" s="315"/>
      <c r="K11" s="312"/>
      <c r="L11" s="312"/>
      <c r="M11" s="312"/>
      <c r="N11" s="313"/>
      <c r="O11" s="313"/>
      <c r="P11" s="276"/>
      <c r="Q11" s="274"/>
      <c r="R11" s="320"/>
    </row>
    <row r="12" spans="1:18" ht="15" customHeight="1">
      <c r="A12" s="525" t="s">
        <v>235</v>
      </c>
      <c r="B12" s="526"/>
      <c r="C12" s="590"/>
      <c r="D12" s="591"/>
      <c r="E12" s="315"/>
      <c r="F12" s="315"/>
      <c r="G12" s="315"/>
      <c r="K12" s="312"/>
      <c r="L12" s="312"/>
      <c r="M12" s="312"/>
      <c r="N12" s="313"/>
      <c r="O12" s="313"/>
      <c r="P12" s="276"/>
      <c r="Q12" s="274"/>
      <c r="R12" s="320"/>
    </row>
    <row r="13" spans="1:18" ht="15" customHeight="1" thickBot="1">
      <c r="A13" s="559" t="s">
        <v>234</v>
      </c>
      <c r="B13" s="560"/>
      <c r="C13" s="561"/>
      <c r="D13" s="562"/>
      <c r="E13" s="232"/>
      <c r="F13" s="232"/>
      <c r="G13" s="232"/>
      <c r="H13" s="230"/>
      <c r="I13" s="230"/>
      <c r="J13" s="230"/>
      <c r="K13" s="312"/>
      <c r="L13" s="312"/>
      <c r="M13" s="312"/>
      <c r="N13" s="313"/>
      <c r="O13" s="313"/>
      <c r="P13" s="276"/>
      <c r="Q13" s="274"/>
      <c r="R13" s="320"/>
    </row>
    <row r="14" spans="1:18" ht="15" customHeight="1" thickTop="1">
      <c r="A14" s="593" t="s">
        <v>243</v>
      </c>
      <c r="B14" s="594"/>
      <c r="C14" s="594"/>
      <c r="D14" s="595"/>
      <c r="E14" s="232"/>
      <c r="F14" s="232"/>
      <c r="G14" s="232"/>
      <c r="H14" s="230"/>
      <c r="I14" s="230"/>
      <c r="J14" s="230"/>
      <c r="K14" s="312"/>
      <c r="L14" s="312"/>
      <c r="M14" s="312"/>
      <c r="N14" s="313"/>
      <c r="O14" s="313"/>
      <c r="P14" s="276"/>
      <c r="Q14" s="274"/>
      <c r="R14" s="320"/>
    </row>
    <row r="15" spans="1:18" ht="15" customHeight="1">
      <c r="A15" s="525" t="s">
        <v>247</v>
      </c>
      <c r="B15" s="526"/>
      <c r="C15" s="565"/>
      <c r="D15" s="592"/>
      <c r="E15" s="270"/>
      <c r="F15" s="565" t="s">
        <v>251</v>
      </c>
      <c r="G15" s="566"/>
      <c r="H15" s="567"/>
      <c r="I15" s="234"/>
      <c r="J15" s="234"/>
      <c r="K15" s="312"/>
      <c r="L15" s="312"/>
      <c r="M15" s="312"/>
      <c r="N15" s="313"/>
      <c r="O15" s="313"/>
      <c r="P15" s="276"/>
      <c r="Q15" s="274"/>
      <c r="R15" s="320"/>
    </row>
    <row r="16" spans="1:18" ht="15" customHeight="1">
      <c r="A16" s="605" t="s">
        <v>231</v>
      </c>
      <c r="B16" s="606"/>
      <c r="C16" s="565"/>
      <c r="D16" s="592"/>
      <c r="E16" s="270"/>
      <c r="F16" s="568" t="s">
        <v>256</v>
      </c>
      <c r="G16" s="569"/>
      <c r="H16" s="570"/>
      <c r="I16" s="234"/>
      <c r="J16" s="234"/>
      <c r="K16" s="312"/>
      <c r="L16" s="312"/>
      <c r="M16" s="312"/>
      <c r="N16" s="313"/>
      <c r="O16" s="313"/>
      <c r="P16" s="276"/>
      <c r="Q16" s="274"/>
      <c r="R16" s="320"/>
    </row>
    <row r="17" spans="1:18" ht="15" customHeight="1">
      <c r="A17" s="529" t="s">
        <v>230</v>
      </c>
      <c r="B17" s="530"/>
      <c r="C17" s="345"/>
      <c r="D17" s="347" t="s">
        <v>36</v>
      </c>
      <c r="E17" s="321"/>
      <c r="F17" s="571" t="s">
        <v>257</v>
      </c>
      <c r="G17" s="572"/>
      <c r="H17" s="573"/>
      <c r="I17" s="321"/>
      <c r="J17" s="321"/>
      <c r="K17" s="312"/>
      <c r="L17" s="312"/>
      <c r="M17" s="312"/>
      <c r="N17" s="313"/>
      <c r="O17" s="313"/>
      <c r="P17" s="276"/>
      <c r="Q17" s="274"/>
      <c r="R17" s="320"/>
    </row>
    <row r="18" spans="1:18" ht="15" customHeight="1">
      <c r="A18" s="529" t="s">
        <v>232</v>
      </c>
      <c r="B18" s="530"/>
      <c r="C18" s="345"/>
      <c r="D18" s="347" t="s">
        <v>258</v>
      </c>
      <c r="E18" s="321"/>
      <c r="F18" s="574" t="s">
        <v>252</v>
      </c>
      <c r="G18" s="575"/>
      <c r="H18" s="576"/>
      <c r="I18" s="321"/>
      <c r="J18" s="321"/>
      <c r="K18" s="312"/>
      <c r="L18" s="312"/>
      <c r="M18" s="312"/>
      <c r="N18" s="313"/>
      <c r="O18" s="313"/>
      <c r="P18" s="276"/>
      <c r="Q18" s="274"/>
      <c r="R18" s="320"/>
    </row>
    <row r="19" spans="1:18" ht="15" customHeight="1">
      <c r="A19" s="529" t="s">
        <v>233</v>
      </c>
      <c r="B19" s="530"/>
      <c r="C19" s="345"/>
      <c r="D19" s="347" t="s">
        <v>117</v>
      </c>
      <c r="E19" s="321"/>
      <c r="F19" s="312"/>
      <c r="G19" s="312"/>
      <c r="H19" s="311"/>
      <c r="I19" s="311"/>
      <c r="J19" s="313"/>
      <c r="K19" s="312"/>
      <c r="L19" s="312"/>
      <c r="M19" s="312"/>
      <c r="N19" s="313"/>
      <c r="O19" s="313"/>
      <c r="P19" s="276"/>
      <c r="Q19" s="274"/>
      <c r="R19" s="320"/>
    </row>
    <row r="20" spans="1:18" ht="15" customHeight="1" thickBot="1">
      <c r="A20" s="563" t="s">
        <v>236</v>
      </c>
      <c r="B20" s="564"/>
      <c r="C20" s="346"/>
      <c r="D20" s="348" t="s">
        <v>24</v>
      </c>
      <c r="E20" s="314"/>
      <c r="F20" s="312"/>
      <c r="G20" s="312"/>
      <c r="H20" s="311"/>
      <c r="I20" s="311"/>
      <c r="J20" s="313"/>
      <c r="K20" s="312"/>
      <c r="L20" s="312"/>
      <c r="M20" s="312"/>
      <c r="N20" s="313"/>
      <c r="O20" s="313"/>
      <c r="P20" s="276"/>
      <c r="Q20" s="274"/>
      <c r="R20" s="320"/>
    </row>
    <row r="21" spans="1:18" ht="15" customHeight="1" thickTop="1" thickBot="1">
      <c r="E21" s="321"/>
      <c r="F21" s="312"/>
      <c r="G21" s="312"/>
      <c r="H21" s="311"/>
      <c r="I21" s="311"/>
      <c r="J21" s="313"/>
      <c r="K21" s="310"/>
      <c r="L21" s="312"/>
    </row>
    <row r="22" spans="1:18" s="321" customFormat="1" ht="15" customHeight="1" thickBot="1">
      <c r="A22" s="549" t="s">
        <v>197</v>
      </c>
      <c r="B22" s="550"/>
      <c r="C22" s="582" t="s">
        <v>105</v>
      </c>
      <c r="D22" s="582"/>
    </row>
    <row r="23" spans="1:18" s="321" customFormat="1" ht="15" customHeight="1" thickBot="1">
      <c r="A23" s="547" t="s">
        <v>111</v>
      </c>
      <c r="B23" s="548"/>
      <c r="C23" s="583"/>
      <c r="D23" s="583"/>
    </row>
    <row r="24" spans="1:18" s="321" customFormat="1" ht="15" customHeight="1">
      <c r="A24" s="551" t="s">
        <v>225</v>
      </c>
      <c r="B24" s="552"/>
      <c r="C24" s="365"/>
      <c r="D24" s="513"/>
    </row>
    <row r="25" spans="1:18" s="321" customFormat="1" ht="15" customHeight="1">
      <c r="A25" s="555" t="s">
        <v>226</v>
      </c>
      <c r="B25" s="556"/>
      <c r="C25" s="361"/>
      <c r="D25" s="362"/>
    </row>
    <row r="26" spans="1:18" s="321" customFormat="1" ht="15" customHeight="1">
      <c r="A26" s="514"/>
      <c r="B26" s="511" t="s">
        <v>201</v>
      </c>
      <c r="C26" s="361"/>
      <c r="D26" s="362"/>
    </row>
    <row r="27" spans="1:18" s="321" customFormat="1" ht="15" customHeight="1">
      <c r="A27" s="555" t="s">
        <v>224</v>
      </c>
      <c r="B27" s="556"/>
      <c r="C27" s="361"/>
      <c r="D27" s="362"/>
    </row>
    <row r="28" spans="1:18" s="321" customFormat="1" ht="15" customHeight="1">
      <c r="A28" s="555" t="s">
        <v>227</v>
      </c>
      <c r="B28" s="556"/>
      <c r="C28" s="361"/>
      <c r="D28" s="362"/>
    </row>
    <row r="29" spans="1:18" s="321" customFormat="1" ht="15" customHeight="1">
      <c r="A29" s="555" t="s">
        <v>228</v>
      </c>
      <c r="B29" s="556"/>
      <c r="C29" s="361"/>
      <c r="D29" s="362"/>
    </row>
    <row r="30" spans="1:18" s="321" customFormat="1" ht="15" customHeight="1" thickBot="1">
      <c r="A30" s="577" t="s">
        <v>200</v>
      </c>
      <c r="B30" s="578"/>
      <c r="C30" s="363"/>
      <c r="D30" s="364"/>
    </row>
    <row r="31" spans="1:18" s="321" customFormat="1" ht="15" customHeight="1">
      <c r="A31" s="553" t="s">
        <v>218</v>
      </c>
      <c r="B31" s="554"/>
      <c r="C31" s="508"/>
      <c r="D31" s="515" t="s">
        <v>219</v>
      </c>
    </row>
    <row r="32" spans="1:18" s="321" customFormat="1" ht="15" customHeight="1">
      <c r="A32" s="557" t="s">
        <v>221</v>
      </c>
      <c r="B32" s="558"/>
      <c r="C32" s="509"/>
      <c r="D32" s="516" t="s">
        <v>219</v>
      </c>
    </row>
    <row r="33" spans="1:4" s="321" customFormat="1" ht="15" customHeight="1">
      <c r="A33" s="557" t="s">
        <v>222</v>
      </c>
      <c r="B33" s="558"/>
      <c r="C33" s="509"/>
      <c r="D33" s="516" t="s">
        <v>219</v>
      </c>
    </row>
    <row r="34" spans="1:4" s="321" customFormat="1" ht="15" customHeight="1">
      <c r="A34" s="557" t="s">
        <v>21</v>
      </c>
      <c r="B34" s="558"/>
      <c r="C34" s="353"/>
      <c r="D34" s="516" t="s">
        <v>22</v>
      </c>
    </row>
    <row r="35" spans="1:4" s="321" customFormat="1" ht="15" customHeight="1">
      <c r="A35" s="557" t="s">
        <v>23</v>
      </c>
      <c r="B35" s="558"/>
      <c r="C35" s="353"/>
      <c r="D35" s="516" t="s">
        <v>22</v>
      </c>
    </row>
    <row r="36" spans="1:4" s="321" customFormat="1" ht="15" customHeight="1">
      <c r="A36" s="557" t="s">
        <v>301</v>
      </c>
      <c r="B36" s="530"/>
      <c r="C36" s="353"/>
      <c r="D36" s="516" t="s">
        <v>22</v>
      </c>
    </row>
    <row r="37" spans="1:4" s="321" customFormat="1" ht="15" customHeight="1" thickBot="1">
      <c r="A37" s="579" t="s">
        <v>199</v>
      </c>
      <c r="B37" s="580"/>
      <c r="C37" s="357"/>
      <c r="D37" s="517" t="s">
        <v>26</v>
      </c>
    </row>
    <row r="38" spans="1:4" s="321" customFormat="1" ht="15" customHeight="1" thickTop="1">
      <c r="A38" s="355" t="s">
        <v>196</v>
      </c>
      <c r="B38" s="340"/>
      <c r="C38" s="354"/>
      <c r="D38" s="518"/>
    </row>
    <row r="39" spans="1:4" s="321" customFormat="1" ht="15" customHeight="1">
      <c r="A39" s="555" t="s">
        <v>174</v>
      </c>
      <c r="B39" s="556"/>
      <c r="C39" s="361"/>
      <c r="D39" s="362"/>
    </row>
    <row r="40" spans="1:4" s="321" customFormat="1" ht="15" customHeight="1">
      <c r="A40" s="555" t="s">
        <v>168</v>
      </c>
      <c r="B40" s="556"/>
      <c r="C40" s="361"/>
      <c r="D40" s="362"/>
    </row>
    <row r="41" spans="1:4" s="321" customFormat="1" ht="15" customHeight="1">
      <c r="A41" s="555" t="s">
        <v>169</v>
      </c>
      <c r="B41" s="556"/>
      <c r="C41" s="361"/>
      <c r="D41" s="362"/>
    </row>
    <row r="42" spans="1:4" s="321" customFormat="1" ht="15" customHeight="1">
      <c r="A42" s="555" t="s">
        <v>170</v>
      </c>
      <c r="B42" s="556"/>
      <c r="C42" s="361"/>
      <c r="D42" s="362"/>
    </row>
    <row r="43" spans="1:4" s="321" customFormat="1" ht="15" customHeight="1">
      <c r="A43" s="555" t="s">
        <v>171</v>
      </c>
      <c r="B43" s="556"/>
      <c r="C43" s="361"/>
      <c r="D43" s="362"/>
    </row>
    <row r="44" spans="1:4" s="321" customFormat="1" ht="15" customHeight="1">
      <c r="A44" s="555" t="s">
        <v>172</v>
      </c>
      <c r="B44" s="556"/>
      <c r="C44" s="361"/>
      <c r="D44" s="362"/>
    </row>
    <row r="45" spans="1:4" s="321" customFormat="1" ht="15" customHeight="1" thickBot="1">
      <c r="A45" s="577" t="s">
        <v>173</v>
      </c>
      <c r="B45" s="578"/>
      <c r="C45" s="504"/>
      <c r="D45" s="364"/>
    </row>
    <row r="46" spans="1:4" s="321" customFormat="1" ht="15" customHeight="1">
      <c r="A46" s="555" t="s">
        <v>175</v>
      </c>
      <c r="B46" s="556"/>
      <c r="C46" s="416"/>
      <c r="D46" s="359" t="s">
        <v>27</v>
      </c>
    </row>
    <row r="47" spans="1:4" s="321" customFormat="1" ht="15" customHeight="1">
      <c r="A47" s="555" t="s">
        <v>176</v>
      </c>
      <c r="B47" s="556"/>
      <c r="C47" s="417"/>
      <c r="D47" s="359" t="s">
        <v>27</v>
      </c>
    </row>
    <row r="48" spans="1:4" s="321" customFormat="1" ht="15" customHeight="1">
      <c r="A48" s="555" t="s">
        <v>177</v>
      </c>
      <c r="B48" s="556"/>
      <c r="C48" s="416"/>
      <c r="D48" s="359" t="s">
        <v>27</v>
      </c>
    </row>
    <row r="49" spans="1:14" s="321" customFormat="1" ht="15" customHeight="1">
      <c r="A49" s="555" t="s">
        <v>178</v>
      </c>
      <c r="B49" s="556"/>
      <c r="C49" s="416"/>
      <c r="D49" s="359" t="s">
        <v>27</v>
      </c>
    </row>
    <row r="50" spans="1:14" s="321" customFormat="1" ht="15" customHeight="1">
      <c r="A50" s="555" t="s">
        <v>179</v>
      </c>
      <c r="B50" s="556"/>
      <c r="C50" s="416"/>
      <c r="D50" s="359" t="s">
        <v>27</v>
      </c>
    </row>
    <row r="51" spans="1:14" s="321" customFormat="1" ht="15" customHeight="1" thickBot="1">
      <c r="A51" s="613"/>
      <c r="B51" s="614"/>
      <c r="C51" s="418"/>
      <c r="D51" s="360"/>
    </row>
    <row r="52" spans="1:14" s="321" customFormat="1" ht="15" customHeight="1" thickTop="1">
      <c r="A52" s="355" t="s">
        <v>195</v>
      </c>
      <c r="B52" s="340"/>
      <c r="C52" s="355"/>
      <c r="D52" s="356"/>
    </row>
    <row r="53" spans="1:14" s="321" customFormat="1" ht="15" customHeight="1">
      <c r="A53" s="555" t="s">
        <v>180</v>
      </c>
      <c r="B53" s="556"/>
      <c r="C53" s="361"/>
      <c r="D53" s="362"/>
    </row>
    <row r="54" spans="1:14" s="321" customFormat="1" ht="15" customHeight="1">
      <c r="A54" s="555" t="s">
        <v>181</v>
      </c>
      <c r="B54" s="556"/>
      <c r="C54" s="366"/>
      <c r="D54" s="362"/>
    </row>
    <row r="55" spans="1:14" s="321" customFormat="1" ht="15" customHeight="1">
      <c r="A55" s="555" t="s">
        <v>182</v>
      </c>
      <c r="B55" s="556"/>
      <c r="C55" s="361"/>
      <c r="D55" s="362"/>
    </row>
    <row r="56" spans="1:14" s="321" customFormat="1" ht="15" customHeight="1" thickBot="1">
      <c r="A56" s="577" t="s">
        <v>223</v>
      </c>
      <c r="B56" s="578"/>
      <c r="C56" s="363"/>
      <c r="D56" s="364"/>
    </row>
    <row r="57" spans="1:14" s="321" customFormat="1" ht="15" customHeight="1">
      <c r="A57" s="555" t="s">
        <v>183</v>
      </c>
      <c r="B57" s="556"/>
      <c r="C57" s="358"/>
      <c r="D57" s="359" t="s">
        <v>27</v>
      </c>
    </row>
    <row r="58" spans="1:14" s="321" customFormat="1" ht="15" customHeight="1">
      <c r="A58" s="555" t="s">
        <v>184</v>
      </c>
      <c r="B58" s="556"/>
      <c r="C58" s="358"/>
      <c r="D58" s="359" t="s">
        <v>27</v>
      </c>
    </row>
    <row r="59" spans="1:14" s="321" customFormat="1" ht="15" customHeight="1" thickBot="1">
      <c r="A59" s="555" t="s">
        <v>185</v>
      </c>
      <c r="B59" s="556"/>
      <c r="C59" s="358"/>
      <c r="D59" s="359" t="s">
        <v>27</v>
      </c>
    </row>
    <row r="60" spans="1:14" s="321" customFormat="1" ht="15" customHeight="1" thickTop="1">
      <c r="A60" s="355" t="s">
        <v>186</v>
      </c>
      <c r="B60" s="340"/>
      <c r="C60" s="355"/>
      <c r="D60" s="356"/>
      <c r="E60" s="314"/>
      <c r="F60" s="314"/>
      <c r="G60" s="314"/>
      <c r="H60" s="314"/>
      <c r="I60" s="314"/>
      <c r="J60" s="314"/>
      <c r="K60" s="314"/>
      <c r="L60" s="314"/>
      <c r="M60" s="314"/>
      <c r="N60" s="314"/>
    </row>
    <row r="61" spans="1:14" s="321" customFormat="1" ht="15" customHeight="1">
      <c r="A61" s="555" t="s">
        <v>191</v>
      </c>
      <c r="B61" s="556"/>
      <c r="C61" s="361"/>
      <c r="D61" s="362"/>
      <c r="E61" s="615"/>
      <c r="F61" s="615"/>
      <c r="G61" s="616"/>
      <c r="H61" s="616"/>
      <c r="I61" s="616"/>
      <c r="J61" s="616"/>
      <c r="K61" s="616"/>
      <c r="L61" s="616"/>
      <c r="M61" s="616"/>
      <c r="N61" s="616"/>
    </row>
    <row r="62" spans="1:14" s="321" customFormat="1" ht="15" customHeight="1">
      <c r="A62" s="555" t="s">
        <v>192</v>
      </c>
      <c r="B62" s="556"/>
      <c r="C62" s="361"/>
      <c r="D62" s="362"/>
      <c r="E62" s="615"/>
      <c r="F62" s="615"/>
      <c r="G62" s="616"/>
      <c r="H62" s="616"/>
      <c r="I62" s="616"/>
      <c r="J62" s="616"/>
      <c r="K62" s="616"/>
      <c r="L62" s="616"/>
      <c r="M62" s="616"/>
      <c r="N62" s="616"/>
    </row>
    <row r="63" spans="1:14" s="321" customFormat="1" ht="15" customHeight="1">
      <c r="A63" s="555" t="s">
        <v>193</v>
      </c>
      <c r="B63" s="556"/>
      <c r="C63" s="361"/>
      <c r="D63" s="362"/>
      <c r="E63" s="615"/>
      <c r="F63" s="615"/>
      <c r="G63" s="616"/>
      <c r="H63" s="616"/>
      <c r="I63" s="616"/>
      <c r="J63" s="616"/>
      <c r="K63" s="616"/>
      <c r="L63" s="616"/>
      <c r="M63" s="616"/>
      <c r="N63" s="616"/>
    </row>
    <row r="64" spans="1:14" s="321" customFormat="1" ht="15" customHeight="1" thickBot="1">
      <c r="A64" s="577" t="s">
        <v>194</v>
      </c>
      <c r="B64" s="578"/>
      <c r="C64" s="363"/>
      <c r="D64" s="364"/>
      <c r="E64" s="615"/>
      <c r="F64" s="615"/>
      <c r="G64" s="616"/>
      <c r="H64" s="616"/>
      <c r="I64" s="616"/>
      <c r="J64" s="616"/>
      <c r="K64" s="616"/>
      <c r="L64" s="616"/>
      <c r="M64" s="616"/>
      <c r="N64" s="616"/>
    </row>
    <row r="65" spans="1:21" s="321" customFormat="1" ht="15" customHeight="1">
      <c r="A65" s="555" t="s">
        <v>190</v>
      </c>
      <c r="B65" s="556"/>
      <c r="C65" s="416"/>
      <c r="D65" s="359" t="s">
        <v>27</v>
      </c>
      <c r="E65" s="491"/>
      <c r="F65" s="489"/>
      <c r="G65" s="490"/>
      <c r="H65" s="489"/>
      <c r="I65" s="490"/>
      <c r="J65" s="489"/>
      <c r="K65" s="490"/>
      <c r="L65" s="489"/>
      <c r="M65" s="490"/>
      <c r="N65" s="489"/>
    </row>
    <row r="66" spans="1:21" s="321" customFormat="1" ht="15" customHeight="1">
      <c r="A66" s="555" t="s">
        <v>189</v>
      </c>
      <c r="B66" s="556"/>
      <c r="C66" s="416"/>
      <c r="D66" s="359" t="s">
        <v>27</v>
      </c>
      <c r="E66" s="491"/>
      <c r="F66" s="489"/>
      <c r="G66" s="490"/>
      <c r="H66" s="489"/>
      <c r="I66" s="490"/>
      <c r="J66" s="489"/>
      <c r="K66" s="490"/>
      <c r="L66" s="489"/>
      <c r="M66" s="490"/>
      <c r="N66" s="489"/>
      <c r="O66" s="313"/>
      <c r="P66" s="276"/>
      <c r="Q66" s="274"/>
      <c r="R66" s="322"/>
    </row>
    <row r="67" spans="1:21" s="321" customFormat="1" ht="15" customHeight="1">
      <c r="A67" s="555" t="s">
        <v>188</v>
      </c>
      <c r="B67" s="556"/>
      <c r="C67" s="416"/>
      <c r="D67" s="359" t="s">
        <v>27</v>
      </c>
      <c r="E67" s="491"/>
      <c r="F67" s="489"/>
      <c r="G67" s="490"/>
      <c r="H67" s="489"/>
      <c r="I67" s="490"/>
      <c r="J67" s="489"/>
      <c r="K67" s="490"/>
      <c r="L67" s="489"/>
      <c r="M67" s="490"/>
      <c r="N67" s="489"/>
      <c r="O67" s="313"/>
      <c r="P67" s="276"/>
      <c r="Q67" s="274"/>
      <c r="R67" s="322"/>
    </row>
    <row r="68" spans="1:21" s="321" customFormat="1" ht="15" customHeight="1" thickBot="1">
      <c r="A68" s="577" t="s">
        <v>187</v>
      </c>
      <c r="B68" s="578"/>
      <c r="C68" s="519"/>
      <c r="D68" s="520" t="s">
        <v>27</v>
      </c>
      <c r="E68" s="491"/>
      <c r="F68" s="489"/>
      <c r="G68" s="490"/>
      <c r="H68" s="489"/>
      <c r="I68" s="490"/>
      <c r="J68" s="489"/>
      <c r="K68" s="490"/>
      <c r="L68" s="489"/>
      <c r="M68" s="490"/>
      <c r="N68" s="489"/>
      <c r="O68" s="313"/>
      <c r="P68" s="276"/>
      <c r="Q68" s="274"/>
      <c r="R68" s="322"/>
    </row>
    <row r="69" spans="1:21" s="321" customFormat="1" ht="15" customHeight="1" thickBot="1">
      <c r="C69" s="325"/>
      <c r="D69" s="349"/>
      <c r="H69" s="324"/>
      <c r="I69" s="324"/>
      <c r="J69" s="324"/>
      <c r="K69" s="312"/>
    </row>
    <row r="70" spans="1:21" s="321" customFormat="1" ht="15" customHeight="1" thickTop="1">
      <c r="A70" s="330" t="s">
        <v>253</v>
      </c>
      <c r="B70" s="331"/>
      <c r="C70" s="336"/>
      <c r="D70" s="339"/>
      <c r="H70" s="324"/>
      <c r="I70" s="324"/>
      <c r="J70" s="324"/>
      <c r="K70" s="314"/>
    </row>
    <row r="71" spans="1:21" s="321" customFormat="1" ht="15" customHeight="1">
      <c r="A71" s="537" t="s">
        <v>114</v>
      </c>
      <c r="B71" s="538"/>
      <c r="C71" s="368"/>
      <c r="D71" s="350" t="s">
        <v>24</v>
      </c>
      <c r="H71" s="324"/>
      <c r="I71" s="324"/>
      <c r="J71" s="324"/>
      <c r="K71" s="312"/>
    </row>
    <row r="72" spans="1:21" s="324" customFormat="1" ht="15" customHeight="1">
      <c r="A72" s="537" t="s">
        <v>115</v>
      </c>
      <c r="B72" s="538"/>
      <c r="C72" s="368"/>
      <c r="D72" s="350" t="s">
        <v>24</v>
      </c>
      <c r="E72" s="321"/>
      <c r="F72" s="321"/>
      <c r="G72" s="321"/>
      <c r="K72" s="312"/>
    </row>
    <row r="73" spans="1:21" s="324" customFormat="1" ht="15" customHeight="1" thickBot="1">
      <c r="A73" s="539" t="s">
        <v>116</v>
      </c>
      <c r="B73" s="540"/>
      <c r="C73" s="344" t="e">
        <f>AVERAGE(C71:C72)</f>
        <v>#DIV/0!</v>
      </c>
      <c r="D73" s="351" t="s">
        <v>24</v>
      </c>
      <c r="E73" s="321"/>
      <c r="F73" s="321"/>
      <c r="G73" s="321"/>
      <c r="K73" s="312"/>
    </row>
    <row r="74" spans="1:21" s="324" customFormat="1" ht="15" customHeight="1" thickTop="1" thickBot="1">
      <c r="C74" s="328"/>
      <c r="E74" s="321"/>
      <c r="F74" s="321"/>
      <c r="G74" s="321"/>
      <c r="K74" s="312"/>
    </row>
    <row r="75" spans="1:21" s="324" customFormat="1" ht="15" customHeight="1" thickTop="1">
      <c r="A75" s="330" t="s">
        <v>254</v>
      </c>
      <c r="B75" s="331"/>
      <c r="C75" s="336"/>
      <c r="D75" s="334"/>
      <c r="E75" s="321"/>
      <c r="F75" s="321"/>
      <c r="G75" s="321"/>
      <c r="K75" s="312"/>
    </row>
    <row r="76" spans="1:21" s="324" customFormat="1" ht="15" customHeight="1">
      <c r="A76" s="337" t="s">
        <v>119</v>
      </c>
      <c r="B76" s="241"/>
      <c r="C76" s="235"/>
      <c r="D76" s="338"/>
      <c r="E76" s="321"/>
      <c r="F76" s="321"/>
      <c r="G76" s="321"/>
      <c r="K76" s="312"/>
    </row>
    <row r="77" spans="1:21" s="324" customFormat="1" ht="15" customHeight="1">
      <c r="A77" s="541" t="s">
        <v>113</v>
      </c>
      <c r="B77" s="542"/>
      <c r="C77" s="345"/>
      <c r="D77" s="350"/>
      <c r="E77" s="321"/>
      <c r="F77" s="321"/>
      <c r="G77" s="321"/>
      <c r="K77" s="312"/>
      <c r="L77" s="275"/>
      <c r="M77" s="275"/>
      <c r="N77" s="286"/>
      <c r="O77" s="286"/>
      <c r="P77" s="286"/>
      <c r="Q77" s="286"/>
      <c r="R77" s="286"/>
      <c r="S77" s="286"/>
      <c r="T77" s="286"/>
      <c r="U77" s="286"/>
    </row>
    <row r="78" spans="1:21" s="324" customFormat="1" ht="15" customHeight="1">
      <c r="A78" s="543" t="s">
        <v>245</v>
      </c>
      <c r="B78" s="544"/>
      <c r="C78" s="369"/>
      <c r="D78" s="350" t="s">
        <v>112</v>
      </c>
      <c r="I78" s="312"/>
      <c r="J78" s="312"/>
    </row>
    <row r="79" spans="1:21" s="324" customFormat="1" ht="15" customHeight="1">
      <c r="A79" s="543" t="s">
        <v>269</v>
      </c>
      <c r="B79" s="544"/>
      <c r="C79" s="345"/>
      <c r="D79" s="350" t="s">
        <v>121</v>
      </c>
      <c r="I79" s="320"/>
      <c r="J79" s="320"/>
    </row>
    <row r="80" spans="1:21" s="324" customFormat="1" ht="15" customHeight="1">
      <c r="A80" s="337" t="s">
        <v>118</v>
      </c>
      <c r="B80" s="241"/>
      <c r="C80" s="235"/>
      <c r="D80" s="338"/>
      <c r="I80" s="320"/>
      <c r="J80" s="320"/>
    </row>
    <row r="81" spans="1:10" s="324" customFormat="1" ht="15" customHeight="1">
      <c r="A81" s="541" t="s">
        <v>120</v>
      </c>
      <c r="B81" s="542"/>
      <c r="C81" s="345"/>
      <c r="D81" s="350"/>
    </row>
    <row r="82" spans="1:10" s="324" customFormat="1" ht="15" customHeight="1" thickBot="1">
      <c r="A82" s="545" t="s">
        <v>246</v>
      </c>
      <c r="B82" s="546"/>
      <c r="C82" s="370"/>
      <c r="D82" s="351" t="s">
        <v>112</v>
      </c>
    </row>
    <row r="83" spans="1:10" s="324" customFormat="1" ht="15" customHeight="1" thickTop="1" thickBot="1">
      <c r="C83" s="328"/>
      <c r="E83" s="321"/>
      <c r="F83" s="321"/>
      <c r="G83" s="321"/>
    </row>
    <row r="84" spans="1:10" s="324" customFormat="1" ht="17.100000000000001" customHeight="1" thickTop="1">
      <c r="A84" s="330" t="s">
        <v>255</v>
      </c>
      <c r="B84" s="331"/>
      <c r="C84" s="352"/>
      <c r="D84" s="332"/>
      <c r="E84" s="333"/>
      <c r="F84" s="333"/>
      <c r="G84" s="333"/>
      <c r="H84" s="332"/>
      <c r="I84" s="332"/>
      <c r="J84" s="334"/>
    </row>
    <row r="85" spans="1:10" s="324" customFormat="1" ht="17.100000000000001" customHeight="1">
      <c r="A85" s="584" t="s">
        <v>209</v>
      </c>
      <c r="B85" s="585"/>
      <c r="C85" s="329">
        <v>0</v>
      </c>
      <c r="D85" s="13">
        <v>10</v>
      </c>
      <c r="E85" s="13">
        <v>20</v>
      </c>
      <c r="F85" s="13">
        <v>30</v>
      </c>
      <c r="G85" s="4">
        <v>40</v>
      </c>
      <c r="H85" s="4">
        <v>50</v>
      </c>
      <c r="I85" s="4">
        <v>60</v>
      </c>
      <c r="J85" s="335">
        <v>70</v>
      </c>
    </row>
    <row r="86" spans="1:10" s="324" customFormat="1" ht="17.100000000000001" customHeight="1" thickBot="1">
      <c r="A86" s="586" t="s">
        <v>210</v>
      </c>
      <c r="B86" s="587"/>
      <c r="C86" s="341">
        <v>1</v>
      </c>
      <c r="D86" s="342"/>
      <c r="E86" s="342"/>
      <c r="F86" s="342"/>
      <c r="G86" s="342"/>
      <c r="H86" s="342"/>
      <c r="I86" s="342"/>
      <c r="J86" s="343"/>
    </row>
    <row r="87" spans="1:10" s="324" customFormat="1" ht="17.100000000000001" customHeight="1" thickTop="1">
      <c r="A87" s="378"/>
      <c r="B87" s="378"/>
      <c r="C87" s="379"/>
      <c r="D87" s="380"/>
      <c r="E87" s="380"/>
      <c r="F87" s="380"/>
      <c r="G87" s="380"/>
      <c r="H87" s="380"/>
      <c r="I87" s="380"/>
      <c r="J87" s="380"/>
    </row>
    <row r="88" spans="1:10" ht="17.100000000000001" customHeight="1"/>
    <row r="89" spans="1:10" ht="17.100000000000001" customHeight="1"/>
    <row r="90" spans="1:10" ht="17.100000000000001" customHeight="1"/>
    <row r="91" spans="1:10" ht="17.100000000000001" customHeight="1"/>
  </sheetData>
  <mergeCells count="110">
    <mergeCell ref="E61:F61"/>
    <mergeCell ref="E62:F62"/>
    <mergeCell ref="E63:F63"/>
    <mergeCell ref="E64:F64"/>
    <mergeCell ref="K64:L64"/>
    <mergeCell ref="M64:N64"/>
    <mergeCell ref="K62:L62"/>
    <mergeCell ref="M62:N62"/>
    <mergeCell ref="K63:L63"/>
    <mergeCell ref="M63:N63"/>
    <mergeCell ref="K61:L61"/>
    <mergeCell ref="M61:N61"/>
    <mergeCell ref="G64:H64"/>
    <mergeCell ref="I64:J64"/>
    <mergeCell ref="G61:H61"/>
    <mergeCell ref="I61:J61"/>
    <mergeCell ref="G62:H62"/>
    <mergeCell ref="I62:J62"/>
    <mergeCell ref="G63:H63"/>
    <mergeCell ref="I63:J63"/>
    <mergeCell ref="A1:D1"/>
    <mergeCell ref="C22:D22"/>
    <mergeCell ref="C23:D23"/>
    <mergeCell ref="A85:B85"/>
    <mergeCell ref="A86:B86"/>
    <mergeCell ref="C11:D11"/>
    <mergeCell ref="C12:D12"/>
    <mergeCell ref="C15:D15"/>
    <mergeCell ref="C16:D16"/>
    <mergeCell ref="A14:D14"/>
    <mergeCell ref="A6:D6"/>
    <mergeCell ref="C3:D3"/>
    <mergeCell ref="C4:D4"/>
    <mergeCell ref="C5:D5"/>
    <mergeCell ref="A16:B16"/>
    <mergeCell ref="A9:B9"/>
    <mergeCell ref="A10:B10"/>
    <mergeCell ref="A3:B3"/>
    <mergeCell ref="A4:B4"/>
    <mergeCell ref="A5:B5"/>
    <mergeCell ref="A59:B59"/>
    <mergeCell ref="A56:B56"/>
    <mergeCell ref="A53:B53"/>
    <mergeCell ref="A51:B51"/>
    <mergeCell ref="A55:B55"/>
    <mergeCell ref="A57:B57"/>
    <mergeCell ref="A54:B54"/>
    <mergeCell ref="A58:B58"/>
    <mergeCell ref="A68:B68"/>
    <mergeCell ref="A71:B71"/>
    <mergeCell ref="A63:B63"/>
    <mergeCell ref="A64:B64"/>
    <mergeCell ref="A61:B61"/>
    <mergeCell ref="A62:B62"/>
    <mergeCell ref="A65:B65"/>
    <mergeCell ref="A66:B66"/>
    <mergeCell ref="A67:B67"/>
    <mergeCell ref="A40:B40"/>
    <mergeCell ref="A47:B47"/>
    <mergeCell ref="A41:B41"/>
    <mergeCell ref="A48:B48"/>
    <mergeCell ref="A30:B30"/>
    <mergeCell ref="A37:B37"/>
    <mergeCell ref="A39:B39"/>
    <mergeCell ref="A46:B46"/>
    <mergeCell ref="A44:B44"/>
    <mergeCell ref="A45:B45"/>
    <mergeCell ref="A19:B19"/>
    <mergeCell ref="A13:B13"/>
    <mergeCell ref="C13:D13"/>
    <mergeCell ref="A20:B20"/>
    <mergeCell ref="A15:B15"/>
    <mergeCell ref="F15:H15"/>
    <mergeCell ref="F16:H16"/>
    <mergeCell ref="F17:H17"/>
    <mergeCell ref="F18:H18"/>
    <mergeCell ref="A72:B72"/>
    <mergeCell ref="A73:B73"/>
    <mergeCell ref="A77:B77"/>
    <mergeCell ref="A78:B78"/>
    <mergeCell ref="A79:B79"/>
    <mergeCell ref="A81:B81"/>
    <mergeCell ref="A82:B82"/>
    <mergeCell ref="A23:B23"/>
    <mergeCell ref="A22:B22"/>
    <mergeCell ref="A24:B24"/>
    <mergeCell ref="A31:B31"/>
    <mergeCell ref="A25:B25"/>
    <mergeCell ref="A28:B28"/>
    <mergeCell ref="A35:B35"/>
    <mergeCell ref="A29:B29"/>
    <mergeCell ref="A36:B36"/>
    <mergeCell ref="A32:B32"/>
    <mergeCell ref="A33:B33"/>
    <mergeCell ref="A27:B27"/>
    <mergeCell ref="A34:B34"/>
    <mergeCell ref="A42:B42"/>
    <mergeCell ref="A49:B49"/>
    <mergeCell ref="A43:B43"/>
    <mergeCell ref="A50:B50"/>
    <mergeCell ref="A8:B8"/>
    <mergeCell ref="C8:D8"/>
    <mergeCell ref="A17:B17"/>
    <mergeCell ref="A11:B11"/>
    <mergeCell ref="A18:B18"/>
    <mergeCell ref="C9:D9"/>
    <mergeCell ref="C10:D10"/>
    <mergeCell ref="A7:B7"/>
    <mergeCell ref="C7:D7"/>
    <mergeCell ref="A12:B12"/>
  </mergeCells>
  <dataValidations count="2">
    <dataValidation type="list" errorStyle="warning" allowBlank="1" showInputMessage="1" showErrorMessage="1" error="Please choose from collector list." promptTitle="Collector Type List" prompt="Select collector type from list." sqref="C5">
      <formula1>Collectortype</formula1>
    </dataValidation>
    <dataValidation type="list" errorStyle="information" allowBlank="1" showInputMessage="1" showErrorMessage="1" error="Recommend you select from list of ISO standards." promptTitle="Test Standards" prompt="Select from list of Test Standards" sqref="C8:D10">
      <formula1>TestStandard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2"/>
  <dimension ref="A1:E33"/>
  <sheetViews>
    <sheetView workbookViewId="0">
      <selection activeCell="A36" sqref="A36"/>
    </sheetView>
  </sheetViews>
  <sheetFormatPr defaultRowHeight="15"/>
  <cols>
    <col min="1" max="1" width="25" customWidth="1"/>
    <col min="2" max="2" width="13.7109375" customWidth="1"/>
    <col min="4" max="4" width="25.7109375" style="271" customWidth="1"/>
    <col min="5" max="5" width="13.7109375" style="271" customWidth="1"/>
    <col min="7" max="7" width="30.7109375" customWidth="1"/>
  </cols>
  <sheetData>
    <row r="1" spans="1:5">
      <c r="A1" s="617" t="s">
        <v>135</v>
      </c>
      <c r="B1" s="618"/>
      <c r="D1" s="617" t="s">
        <v>63</v>
      </c>
      <c r="E1" s="618"/>
    </row>
    <row r="2" spans="1:5">
      <c r="A2" s="371" t="s">
        <v>136</v>
      </c>
      <c r="B2" s="373">
        <v>3.4121424999999999</v>
      </c>
      <c r="D2" s="371" t="s">
        <v>77</v>
      </c>
      <c r="E2" s="376">
        <v>0.29307100000000003</v>
      </c>
    </row>
    <row r="3" spans="1:5">
      <c r="A3" s="371" t="s">
        <v>137</v>
      </c>
      <c r="B3" s="373">
        <v>3412.1419999999998</v>
      </c>
      <c r="D3" s="371" t="s">
        <v>139</v>
      </c>
      <c r="E3" s="377">
        <v>2.93071E-4</v>
      </c>
    </row>
    <row r="4" spans="1:5">
      <c r="A4" s="371" t="s">
        <v>141</v>
      </c>
      <c r="B4" s="373">
        <v>3412.1419999999998</v>
      </c>
      <c r="D4" s="371" t="s">
        <v>140</v>
      </c>
      <c r="E4" s="377">
        <v>2.93071E-4</v>
      </c>
    </row>
    <row r="5" spans="1:5" s="265" customFormat="1">
      <c r="A5" s="371" t="s">
        <v>165</v>
      </c>
      <c r="B5" s="374">
        <v>3.28084</v>
      </c>
      <c r="D5" s="371" t="s">
        <v>164</v>
      </c>
      <c r="E5" s="374">
        <v>0.30480000000000002</v>
      </c>
    </row>
    <row r="6" spans="1:5" s="271" customFormat="1">
      <c r="A6" s="371" t="s">
        <v>302</v>
      </c>
      <c r="B6" s="374">
        <v>39.370078999999997</v>
      </c>
      <c r="D6" s="371" t="s">
        <v>303</v>
      </c>
      <c r="E6" s="374">
        <v>2.5399999999999999E-2</v>
      </c>
    </row>
    <row r="7" spans="1:5" s="271" customFormat="1">
      <c r="A7" s="371" t="s">
        <v>267</v>
      </c>
      <c r="B7" s="374">
        <v>3.9370000000000002E-2</v>
      </c>
      <c r="D7" s="371" t="s">
        <v>268</v>
      </c>
      <c r="E7" s="374">
        <v>25.4</v>
      </c>
    </row>
    <row r="8" spans="1:5" ht="17.25">
      <c r="A8" s="371" t="s">
        <v>138</v>
      </c>
      <c r="B8" s="373">
        <v>10.763915051182416</v>
      </c>
      <c r="D8" s="371" t="s">
        <v>82</v>
      </c>
      <c r="E8" s="376">
        <v>9.2902999999999999E-2</v>
      </c>
    </row>
    <row r="9" spans="1:5" s="271" customFormat="1" ht="17.25">
      <c r="A9" s="371" t="s">
        <v>162</v>
      </c>
      <c r="B9" s="374">
        <f>B2/B8</f>
        <v>0.31699827467750002</v>
      </c>
      <c r="D9" s="371" t="s">
        <v>266</v>
      </c>
      <c r="E9" s="373">
        <f>E2/E8</f>
        <v>3.154591347965082</v>
      </c>
    </row>
    <row r="10" spans="1:5" ht="17.25">
      <c r="A10" s="371" t="s">
        <v>161</v>
      </c>
      <c r="B10" s="375">
        <f>B3/B8</f>
        <v>316.99822822599998</v>
      </c>
      <c r="D10" s="371" t="s">
        <v>160</v>
      </c>
      <c r="E10" s="375">
        <f>E3/E8</f>
        <v>3.1545913479650821E-3</v>
      </c>
    </row>
    <row r="11" spans="1:5" ht="17.25">
      <c r="A11" s="371" t="s">
        <v>162</v>
      </c>
      <c r="B11" s="375">
        <f>B2/B8</f>
        <v>0.31699827467750002</v>
      </c>
      <c r="D11" s="371" t="s">
        <v>163</v>
      </c>
      <c r="E11" s="375">
        <f>E2/E8</f>
        <v>3.154591347965082</v>
      </c>
    </row>
    <row r="12" spans="1:5" s="119" customFormat="1">
      <c r="A12" s="371" t="s">
        <v>238</v>
      </c>
      <c r="B12" s="375">
        <v>0.145038</v>
      </c>
      <c r="D12" s="371" t="s">
        <v>237</v>
      </c>
      <c r="E12" s="375">
        <v>6.8947570000000002</v>
      </c>
    </row>
    <row r="13" spans="1:5" s="271" customFormat="1">
      <c r="A13" s="371" t="s">
        <v>287</v>
      </c>
      <c r="B13" s="375">
        <v>20.885546999999999</v>
      </c>
      <c r="D13" s="371" t="s">
        <v>288</v>
      </c>
      <c r="E13" s="375">
        <v>4.7879999999999999E-2</v>
      </c>
    </row>
    <row r="14" spans="1:5">
      <c r="A14" s="371" t="s">
        <v>263</v>
      </c>
      <c r="B14" s="372">
        <v>2.2046230000000002</v>
      </c>
      <c r="D14" s="371" t="s">
        <v>264</v>
      </c>
      <c r="E14" s="372">
        <v>0.453592</v>
      </c>
    </row>
    <row r="15" spans="1:5" ht="17.25">
      <c r="A15" s="371" t="s">
        <v>271</v>
      </c>
      <c r="B15" s="60">
        <v>1.8</v>
      </c>
      <c r="D15" s="371" t="s">
        <v>270</v>
      </c>
      <c r="E15" s="60">
        <v>5.5556000000000001E-2</v>
      </c>
    </row>
    <row r="21" spans="1:5">
      <c r="A21" t="s">
        <v>31</v>
      </c>
    </row>
    <row r="22" spans="1:5">
      <c r="A22" t="s">
        <v>103</v>
      </c>
    </row>
    <row r="23" spans="1:5">
      <c r="A23" t="s">
        <v>104</v>
      </c>
    </row>
    <row r="25" spans="1:5">
      <c r="A25" s="265"/>
    </row>
    <row r="26" spans="1:5">
      <c r="A26" s="271"/>
      <c r="B26" s="271"/>
      <c r="D26"/>
      <c r="E26"/>
    </row>
    <row r="27" spans="1:5">
      <c r="A27" s="271" t="s">
        <v>107</v>
      </c>
      <c r="B27" s="271"/>
      <c r="D27"/>
      <c r="E27"/>
    </row>
    <row r="28" spans="1:5">
      <c r="A28" s="271" t="s">
        <v>108</v>
      </c>
      <c r="B28" s="271"/>
      <c r="D28"/>
      <c r="E28"/>
    </row>
    <row r="29" spans="1:5">
      <c r="A29" s="271" t="s">
        <v>110</v>
      </c>
      <c r="B29" s="271"/>
      <c r="D29"/>
      <c r="E29"/>
    </row>
    <row r="30" spans="1:5">
      <c r="A30" s="271" t="s">
        <v>109</v>
      </c>
      <c r="B30" s="271"/>
      <c r="D30"/>
      <c r="E30"/>
    </row>
    <row r="31" spans="1:5">
      <c r="A31" s="271" t="s">
        <v>300</v>
      </c>
      <c r="B31" s="271"/>
      <c r="D31"/>
      <c r="E31"/>
    </row>
    <row r="32" spans="1:5">
      <c r="A32" s="271"/>
      <c r="B32" s="271"/>
      <c r="D32"/>
      <c r="E32"/>
    </row>
    <row r="33" spans="1:5">
      <c r="A33" s="271"/>
      <c r="B33" s="271"/>
      <c r="D33"/>
      <c r="E33"/>
    </row>
  </sheetData>
  <mergeCells count="2">
    <mergeCell ref="D1:E1"/>
    <mergeCell ref="A1:B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J78"/>
  <sheetViews>
    <sheetView zoomScaleNormal="100" workbookViewId="0">
      <selection activeCell="H73" sqref="H73"/>
    </sheetView>
  </sheetViews>
  <sheetFormatPr defaultRowHeight="15"/>
  <cols>
    <col min="1" max="1" width="17.140625" style="117" customWidth="1"/>
    <col min="2" max="2" width="15.85546875" style="117" customWidth="1"/>
    <col min="3" max="4" width="15.85546875" style="147" customWidth="1"/>
    <col min="5" max="5" width="16" style="117" customWidth="1"/>
    <col min="6" max="10" width="15.85546875" style="117" customWidth="1"/>
    <col min="11" max="16384" width="9.140625" style="117"/>
  </cols>
  <sheetData>
    <row r="1" spans="1:10" ht="18.75">
      <c r="A1" s="122" t="s">
        <v>71</v>
      </c>
      <c r="B1" s="115"/>
      <c r="C1" s="123"/>
      <c r="D1" s="123"/>
      <c r="E1" s="115"/>
      <c r="F1" s="115"/>
      <c r="G1" s="115"/>
      <c r="H1" s="115"/>
      <c r="I1" s="115"/>
      <c r="J1" s="115"/>
    </row>
    <row r="2" spans="1:10">
      <c r="A2" s="619" t="s">
        <v>53</v>
      </c>
      <c r="B2" s="620"/>
      <c r="C2" s="620"/>
      <c r="D2" s="620"/>
      <c r="E2" s="620"/>
      <c r="F2" s="620"/>
      <c r="G2" s="620"/>
      <c r="H2" s="620"/>
      <c r="I2" s="620"/>
      <c r="J2" s="621"/>
    </row>
    <row r="3" spans="1:10">
      <c r="A3" s="124"/>
      <c r="B3" s="125"/>
      <c r="C3" s="126"/>
      <c r="D3" s="127"/>
      <c r="E3" s="622" t="s">
        <v>5</v>
      </c>
      <c r="F3" s="623"/>
      <c r="G3" s="624"/>
      <c r="H3" s="622" t="s">
        <v>17</v>
      </c>
      <c r="I3" s="623"/>
      <c r="J3" s="624"/>
    </row>
    <row r="4" spans="1:10" ht="50.1" customHeight="1">
      <c r="A4" s="128" t="s">
        <v>1</v>
      </c>
      <c r="B4" s="129" t="s">
        <v>7</v>
      </c>
      <c r="C4" s="130" t="s">
        <v>13</v>
      </c>
      <c r="D4" s="131" t="s">
        <v>10</v>
      </c>
      <c r="E4" s="128" t="s">
        <v>6</v>
      </c>
      <c r="F4" s="116" t="s">
        <v>11</v>
      </c>
      <c r="G4" s="129" t="s">
        <v>12</v>
      </c>
      <c r="H4" s="132" t="s">
        <v>62</v>
      </c>
      <c r="I4" s="133" t="s">
        <v>60</v>
      </c>
      <c r="J4" s="134" t="s">
        <v>61</v>
      </c>
    </row>
    <row r="5" spans="1:10" ht="15" customHeight="1">
      <c r="A5" s="120"/>
      <c r="B5" s="204" t="s">
        <v>8</v>
      </c>
      <c r="C5" s="205"/>
      <c r="D5" s="206"/>
      <c r="E5" s="207" t="s">
        <v>4</v>
      </c>
      <c r="F5" s="208" t="s">
        <v>4</v>
      </c>
      <c r="G5" s="204" t="s">
        <v>4</v>
      </c>
      <c r="H5" s="207" t="s">
        <v>8</v>
      </c>
      <c r="I5" s="208" t="s">
        <v>8</v>
      </c>
      <c r="J5" s="204" t="s">
        <v>8</v>
      </c>
    </row>
    <row r="6" spans="1:10" ht="15" customHeight="1">
      <c r="A6" s="67"/>
      <c r="B6" s="135"/>
      <c r="C6" s="136"/>
      <c r="D6" s="137"/>
      <c r="E6" s="121"/>
      <c r="F6" s="37"/>
      <c r="G6" s="135"/>
      <c r="H6" s="121"/>
      <c r="I6" s="37"/>
      <c r="J6" s="135"/>
    </row>
    <row r="7" spans="1:10" ht="15" customHeight="1">
      <c r="A7" s="67">
        <v>6</v>
      </c>
      <c r="B7" s="68">
        <f>(180/12)*(A7-6)</f>
        <v>0</v>
      </c>
      <c r="C7" s="138">
        <f>SIN(B7*3.1416/180)</f>
        <v>0</v>
      </c>
      <c r="D7" s="139">
        <f>C7*G$20/C$20</f>
        <v>0</v>
      </c>
      <c r="E7" s="121"/>
      <c r="F7" s="39"/>
      <c r="G7" s="68"/>
      <c r="H7" s="67">
        <f>ABS(90-B7)</f>
        <v>90</v>
      </c>
      <c r="I7" s="39">
        <f>ABS(90-B7)</f>
        <v>90</v>
      </c>
      <c r="J7" s="68">
        <v>0</v>
      </c>
    </row>
    <row r="8" spans="1:10">
      <c r="A8" s="67">
        <v>7</v>
      </c>
      <c r="B8" s="68">
        <f>(180/12)*(A8-6)</f>
        <v>15</v>
      </c>
      <c r="C8" s="138">
        <f t="shared" ref="C8:C19" si="0">SIN(B8*3.1416/180)</f>
        <v>0.25881963644308476</v>
      </c>
      <c r="D8" s="139">
        <f t="shared" ref="D8:D19" si="1">C8*G$20/C$20</f>
        <v>68.148697277500588</v>
      </c>
      <c r="E8" s="67">
        <v>37</v>
      </c>
      <c r="F8" s="39">
        <v>15</v>
      </c>
      <c r="G8" s="68">
        <v>52</v>
      </c>
      <c r="H8" s="67">
        <f t="shared" ref="H8:H18" si="2">ABS(90-B8)</f>
        <v>75</v>
      </c>
      <c r="I8" s="39">
        <f t="shared" ref="I8:I19" si="3">ABS(90-B8)</f>
        <v>75</v>
      </c>
      <c r="J8" s="68">
        <v>0</v>
      </c>
    </row>
    <row r="9" spans="1:10">
      <c r="A9" s="67">
        <v>8</v>
      </c>
      <c r="B9" s="68">
        <f t="shared" ref="B9:B19" si="4">(180/12)*(A9-6)</f>
        <v>30</v>
      </c>
      <c r="C9" s="138">
        <f t="shared" si="0"/>
        <v>0.50000106036260283</v>
      </c>
      <c r="D9" s="139">
        <f t="shared" si="1"/>
        <v>131.65315186034348</v>
      </c>
      <c r="E9" s="67">
        <v>85</v>
      </c>
      <c r="F9" s="39">
        <v>29</v>
      </c>
      <c r="G9" s="68">
        <v>114</v>
      </c>
      <c r="H9" s="67">
        <f t="shared" si="2"/>
        <v>60</v>
      </c>
      <c r="I9" s="39">
        <f t="shared" si="3"/>
        <v>60</v>
      </c>
      <c r="J9" s="68">
        <v>0</v>
      </c>
    </row>
    <row r="10" spans="1:10">
      <c r="A10" s="67">
        <v>9</v>
      </c>
      <c r="B10" s="68">
        <f t="shared" si="4"/>
        <v>45</v>
      </c>
      <c r="C10" s="138">
        <f t="shared" si="0"/>
        <v>0.70710807985947355</v>
      </c>
      <c r="D10" s="139">
        <f t="shared" si="1"/>
        <v>186.18561999029305</v>
      </c>
      <c r="E10" s="67">
        <v>138</v>
      </c>
      <c r="F10" s="39">
        <v>40</v>
      </c>
      <c r="G10" s="68">
        <v>178</v>
      </c>
      <c r="H10" s="67">
        <f t="shared" si="2"/>
        <v>45</v>
      </c>
      <c r="I10" s="39">
        <f t="shared" si="3"/>
        <v>45</v>
      </c>
      <c r="J10" s="68">
        <v>0</v>
      </c>
    </row>
    <row r="11" spans="1:10">
      <c r="A11" s="67">
        <v>10</v>
      </c>
      <c r="B11" s="68">
        <f t="shared" si="4"/>
        <v>60</v>
      </c>
      <c r="C11" s="138">
        <f t="shared" si="0"/>
        <v>0.86602662818354326</v>
      </c>
      <c r="D11" s="139">
        <f t="shared" si="1"/>
        <v>228.02978680218195</v>
      </c>
      <c r="E11" s="67">
        <v>187</v>
      </c>
      <c r="F11" s="39">
        <v>50</v>
      </c>
      <c r="G11" s="68">
        <v>237</v>
      </c>
      <c r="H11" s="67">
        <f t="shared" si="2"/>
        <v>30</v>
      </c>
      <c r="I11" s="39">
        <f t="shared" si="3"/>
        <v>30</v>
      </c>
      <c r="J11" s="68">
        <v>0</v>
      </c>
    </row>
    <row r="12" spans="1:10">
      <c r="A12" s="67">
        <v>11</v>
      </c>
      <c r="B12" s="68">
        <f t="shared" si="4"/>
        <v>75</v>
      </c>
      <c r="C12" s="138">
        <f t="shared" si="0"/>
        <v>0.9659266185307408</v>
      </c>
      <c r="D12" s="139">
        <f t="shared" si="1"/>
        <v>254.33402821816708</v>
      </c>
      <c r="E12" s="67">
        <v>220</v>
      </c>
      <c r="F12" s="39">
        <v>55</v>
      </c>
      <c r="G12" s="68">
        <v>275</v>
      </c>
      <c r="H12" s="67">
        <f t="shared" si="2"/>
        <v>15</v>
      </c>
      <c r="I12" s="39">
        <f t="shared" si="3"/>
        <v>15</v>
      </c>
      <c r="J12" s="68">
        <v>0</v>
      </c>
    </row>
    <row r="13" spans="1:10">
      <c r="A13" s="67">
        <v>12</v>
      </c>
      <c r="B13" s="68">
        <f t="shared" si="4"/>
        <v>90</v>
      </c>
      <c r="C13" s="138">
        <f t="shared" si="0"/>
        <v>0.99999999999325373</v>
      </c>
      <c r="D13" s="139">
        <f t="shared" si="1"/>
        <v>263.3057453197797</v>
      </c>
      <c r="E13" s="67">
        <v>231</v>
      </c>
      <c r="F13" s="39">
        <v>57</v>
      </c>
      <c r="G13" s="68">
        <v>288</v>
      </c>
      <c r="H13" s="67">
        <f t="shared" si="2"/>
        <v>0</v>
      </c>
      <c r="I13" s="39">
        <f t="shared" si="3"/>
        <v>0</v>
      </c>
      <c r="J13" s="68">
        <v>0</v>
      </c>
    </row>
    <row r="14" spans="1:10">
      <c r="A14" s="67">
        <v>13</v>
      </c>
      <c r="B14" s="68">
        <f t="shared" si="4"/>
        <v>105</v>
      </c>
      <c r="C14" s="138">
        <f t="shared" si="0"/>
        <v>0.96592471713552197</v>
      </c>
      <c r="D14" s="139">
        <f t="shared" si="1"/>
        <v>254.33352756988182</v>
      </c>
      <c r="E14" s="67">
        <v>220</v>
      </c>
      <c r="F14" s="39">
        <v>55</v>
      </c>
      <c r="G14" s="68">
        <v>275</v>
      </c>
      <c r="H14" s="67">
        <f t="shared" si="2"/>
        <v>15</v>
      </c>
      <c r="I14" s="39">
        <f t="shared" si="3"/>
        <v>15</v>
      </c>
      <c r="J14" s="68">
        <v>0</v>
      </c>
    </row>
    <row r="15" spans="1:10">
      <c r="A15" s="67">
        <v>14</v>
      </c>
      <c r="B15" s="68">
        <f t="shared" si="4"/>
        <v>120</v>
      </c>
      <c r="C15" s="138">
        <f t="shared" si="0"/>
        <v>0.86602295497064974</v>
      </c>
      <c r="D15" s="139">
        <f t="shared" si="1"/>
        <v>228.02881962412329</v>
      </c>
      <c r="E15" s="67">
        <v>187</v>
      </c>
      <c r="F15" s="39">
        <v>50</v>
      </c>
      <c r="G15" s="68">
        <v>237</v>
      </c>
      <c r="H15" s="67">
        <f t="shared" si="2"/>
        <v>30</v>
      </c>
      <c r="I15" s="39">
        <f t="shared" si="3"/>
        <v>30</v>
      </c>
      <c r="J15" s="68">
        <v>0</v>
      </c>
    </row>
    <row r="16" spans="1:10">
      <c r="A16" s="67">
        <v>15</v>
      </c>
      <c r="B16" s="68">
        <f t="shared" si="4"/>
        <v>135</v>
      </c>
      <c r="C16" s="138">
        <f t="shared" si="0"/>
        <v>0.70710288515345854</v>
      </c>
      <c r="D16" s="139">
        <f t="shared" si="1"/>
        <v>186.18425219435403</v>
      </c>
      <c r="E16" s="67">
        <v>138</v>
      </c>
      <c r="F16" s="39">
        <v>40</v>
      </c>
      <c r="G16" s="68">
        <v>178</v>
      </c>
      <c r="H16" s="67">
        <f t="shared" si="2"/>
        <v>45</v>
      </c>
      <c r="I16" s="39">
        <f t="shared" si="3"/>
        <v>45</v>
      </c>
      <c r="J16" s="68">
        <v>0</v>
      </c>
    </row>
    <row r="17" spans="1:10">
      <c r="A17" s="67">
        <v>16</v>
      </c>
      <c r="B17" s="68">
        <f t="shared" si="4"/>
        <v>150</v>
      </c>
      <c r="C17" s="138">
        <f t="shared" si="0"/>
        <v>0.49999469817574232</v>
      </c>
      <c r="D17" s="139">
        <f t="shared" si="1"/>
        <v>131.65147665999029</v>
      </c>
      <c r="E17" s="67">
        <v>85</v>
      </c>
      <c r="F17" s="39">
        <v>29</v>
      </c>
      <c r="G17" s="68">
        <v>114</v>
      </c>
      <c r="H17" s="67">
        <f t="shared" si="2"/>
        <v>60</v>
      </c>
      <c r="I17" s="39">
        <f t="shared" si="3"/>
        <v>60</v>
      </c>
      <c r="J17" s="68">
        <v>0</v>
      </c>
    </row>
    <row r="18" spans="1:10">
      <c r="A18" s="67">
        <v>17</v>
      </c>
      <c r="B18" s="68">
        <f t="shared" si="4"/>
        <v>165</v>
      </c>
      <c r="C18" s="138">
        <f t="shared" si="0"/>
        <v>0.25881254034991502</v>
      </c>
      <c r="D18" s="139">
        <f t="shared" si="1"/>
        <v>68.146828835399674</v>
      </c>
      <c r="E18" s="67">
        <v>37</v>
      </c>
      <c r="F18" s="39">
        <v>15</v>
      </c>
      <c r="G18" s="68">
        <v>52</v>
      </c>
      <c r="H18" s="67">
        <f t="shared" si="2"/>
        <v>75</v>
      </c>
      <c r="I18" s="39">
        <f t="shared" si="3"/>
        <v>75</v>
      </c>
      <c r="J18" s="68">
        <v>0</v>
      </c>
    </row>
    <row r="19" spans="1:10">
      <c r="A19" s="67">
        <v>18</v>
      </c>
      <c r="B19" s="68">
        <f t="shared" si="4"/>
        <v>180</v>
      </c>
      <c r="C19" s="138">
        <f t="shared" si="0"/>
        <v>-7.3464102061994479E-6</v>
      </c>
      <c r="D19" s="139">
        <f t="shared" si="1"/>
        <v>-1.9343520147812319E-3</v>
      </c>
      <c r="E19" s="67"/>
      <c r="F19" s="39"/>
      <c r="G19" s="68"/>
      <c r="H19" s="67">
        <f>ABS(90-B19)</f>
        <v>90</v>
      </c>
      <c r="I19" s="39">
        <f t="shared" si="3"/>
        <v>90</v>
      </c>
      <c r="J19" s="68">
        <v>0</v>
      </c>
    </row>
    <row r="20" spans="1:10" ht="17.25">
      <c r="A20" s="140" t="s">
        <v>9</v>
      </c>
      <c r="B20" s="141"/>
      <c r="C20" s="142">
        <f>SUM(C7:C19)</f>
        <v>7.5957324727477795</v>
      </c>
      <c r="D20" s="143">
        <f>SUM(D7:D19)</f>
        <v>2000.0000000000005</v>
      </c>
      <c r="E20" s="144">
        <f>SUM(E8:E19)</f>
        <v>1565</v>
      </c>
      <c r="F20" s="3">
        <f t="shared" ref="F20:G20" si="5">SUM(F8:F19)</f>
        <v>435</v>
      </c>
      <c r="G20" s="145">
        <f t="shared" si="5"/>
        <v>2000</v>
      </c>
      <c r="H20" s="144"/>
      <c r="I20" s="3"/>
      <c r="J20" s="145"/>
    </row>
    <row r="21" spans="1:10">
      <c r="A21" s="1"/>
      <c r="B21" s="1"/>
      <c r="C21" s="146"/>
      <c r="D21" s="146"/>
      <c r="E21" s="1"/>
      <c r="F21" s="1"/>
      <c r="G21" s="1"/>
      <c r="H21" s="1"/>
      <c r="I21" s="1"/>
      <c r="J21" s="1"/>
    </row>
    <row r="22" spans="1:10">
      <c r="A22" s="619" t="s">
        <v>59</v>
      </c>
      <c r="B22" s="620"/>
      <c r="C22" s="620"/>
      <c r="D22" s="620"/>
      <c r="E22" s="620"/>
      <c r="F22" s="620"/>
      <c r="G22" s="620"/>
      <c r="H22" s="620"/>
      <c r="I22" s="620"/>
      <c r="J22" s="621"/>
    </row>
    <row r="23" spans="1:10">
      <c r="A23" s="124"/>
      <c r="B23" s="125"/>
      <c r="C23" s="126"/>
      <c r="D23" s="127"/>
      <c r="E23" s="622" t="s">
        <v>5</v>
      </c>
      <c r="F23" s="623"/>
      <c r="G23" s="624"/>
      <c r="H23" s="622" t="s">
        <v>17</v>
      </c>
      <c r="I23" s="623"/>
      <c r="J23" s="624"/>
    </row>
    <row r="24" spans="1:10" ht="50.1" customHeight="1">
      <c r="A24" s="209" t="s">
        <v>1</v>
      </c>
      <c r="B24" s="210" t="s">
        <v>7</v>
      </c>
      <c r="C24" s="211" t="s">
        <v>13</v>
      </c>
      <c r="D24" s="212" t="s">
        <v>10</v>
      </c>
      <c r="E24" s="209" t="s">
        <v>6</v>
      </c>
      <c r="F24" s="213" t="s">
        <v>11</v>
      </c>
      <c r="G24" s="210" t="s">
        <v>12</v>
      </c>
      <c r="H24" s="214" t="s">
        <v>62</v>
      </c>
      <c r="I24" s="215" t="s">
        <v>60</v>
      </c>
      <c r="J24" s="216" t="s">
        <v>61</v>
      </c>
    </row>
    <row r="25" spans="1:10" ht="15" customHeight="1">
      <c r="A25" s="67"/>
      <c r="B25" s="135" t="s">
        <v>8</v>
      </c>
      <c r="C25" s="136"/>
      <c r="D25" s="137"/>
      <c r="E25" s="121" t="s">
        <v>4</v>
      </c>
      <c r="F25" s="37" t="s">
        <v>4</v>
      </c>
      <c r="G25" s="135" t="s">
        <v>4</v>
      </c>
      <c r="H25" s="121" t="s">
        <v>8</v>
      </c>
      <c r="I25" s="37" t="s">
        <v>8</v>
      </c>
      <c r="J25" s="135" t="s">
        <v>8</v>
      </c>
    </row>
    <row r="26" spans="1:10" ht="15" customHeight="1">
      <c r="A26" s="67"/>
      <c r="B26" s="135"/>
      <c r="C26" s="136"/>
      <c r="D26" s="137"/>
      <c r="E26" s="121"/>
      <c r="F26" s="37"/>
      <c r="G26" s="135"/>
      <c r="H26" s="121"/>
      <c r="I26" s="37"/>
      <c r="J26" s="135"/>
    </row>
    <row r="27" spans="1:10" ht="15" customHeight="1">
      <c r="A27" s="67">
        <v>6</v>
      </c>
      <c r="B27" s="68">
        <f>(180/12)*(A27-6)</f>
        <v>0</v>
      </c>
      <c r="C27" s="138">
        <f>SIN(B27*3.1416/180)</f>
        <v>0</v>
      </c>
      <c r="D27" s="139">
        <f>C27*G$40/C$40</f>
        <v>0</v>
      </c>
      <c r="E27" s="121"/>
      <c r="F27" s="39"/>
      <c r="G27" s="68"/>
      <c r="H27" s="67">
        <f>ABS(90-B27)</f>
        <v>90</v>
      </c>
      <c r="I27" s="39">
        <f>ABS(90-B27)</f>
        <v>90</v>
      </c>
      <c r="J27" s="68">
        <v>0</v>
      </c>
    </row>
    <row r="28" spans="1:10">
      <c r="A28" s="67">
        <v>7</v>
      </c>
      <c r="B28" s="68">
        <f t="shared" ref="B28:B39" si="6">(180/12)*(A28-6)</f>
        <v>15</v>
      </c>
      <c r="C28" s="138">
        <f t="shared" ref="C28:C39" si="7">SIN(B28*3.1416/180)</f>
        <v>0.25881963644308476</v>
      </c>
      <c r="D28" s="139">
        <f t="shared" ref="D28:D39" si="8">C28*G$40/C$40</f>
        <v>51.111522958125455</v>
      </c>
      <c r="E28" s="67">
        <v>22</v>
      </c>
      <c r="F28" s="39">
        <v>16</v>
      </c>
      <c r="G28" s="68">
        <v>38</v>
      </c>
      <c r="H28" s="67">
        <f t="shared" ref="H28:H38" si="9">ABS(90-B28)</f>
        <v>75</v>
      </c>
      <c r="I28" s="39">
        <f t="shared" ref="I28:I39" si="10">ABS(90-B28)</f>
        <v>75</v>
      </c>
      <c r="J28" s="68">
        <v>0</v>
      </c>
    </row>
    <row r="29" spans="1:10">
      <c r="A29" s="67">
        <v>8</v>
      </c>
      <c r="B29" s="68">
        <f t="shared" si="6"/>
        <v>30</v>
      </c>
      <c r="C29" s="138">
        <f t="shared" si="7"/>
        <v>0.50000106036260283</v>
      </c>
      <c r="D29" s="139">
        <f t="shared" si="8"/>
        <v>98.739863895257614</v>
      </c>
      <c r="E29" s="67">
        <v>54</v>
      </c>
      <c r="F29" s="39">
        <v>31</v>
      </c>
      <c r="G29" s="68">
        <v>85</v>
      </c>
      <c r="H29" s="67">
        <f t="shared" si="9"/>
        <v>60</v>
      </c>
      <c r="I29" s="39">
        <f t="shared" si="10"/>
        <v>60</v>
      </c>
      <c r="J29" s="68">
        <v>0</v>
      </c>
    </row>
    <row r="30" spans="1:10">
      <c r="A30" s="67">
        <v>9</v>
      </c>
      <c r="B30" s="68">
        <f t="shared" si="6"/>
        <v>45</v>
      </c>
      <c r="C30" s="138">
        <f t="shared" si="7"/>
        <v>0.70710807985947355</v>
      </c>
      <c r="D30" s="139">
        <f t="shared" si="8"/>
        <v>139.63921499271979</v>
      </c>
      <c r="E30" s="67">
        <v>90</v>
      </c>
      <c r="F30" s="39">
        <v>44</v>
      </c>
      <c r="G30" s="68">
        <v>134</v>
      </c>
      <c r="H30" s="67">
        <f t="shared" si="9"/>
        <v>45</v>
      </c>
      <c r="I30" s="39">
        <f t="shared" si="10"/>
        <v>45</v>
      </c>
      <c r="J30" s="68">
        <v>0</v>
      </c>
    </row>
    <row r="31" spans="1:10">
      <c r="A31" s="67">
        <v>10</v>
      </c>
      <c r="B31" s="68">
        <f t="shared" si="6"/>
        <v>60</v>
      </c>
      <c r="C31" s="138">
        <f t="shared" si="7"/>
        <v>0.86602662818354326</v>
      </c>
      <c r="D31" s="139">
        <f t="shared" si="8"/>
        <v>171.02234010163647</v>
      </c>
      <c r="E31" s="67">
        <v>123</v>
      </c>
      <c r="F31" s="39">
        <v>54</v>
      </c>
      <c r="G31" s="68">
        <v>177</v>
      </c>
      <c r="H31" s="67">
        <f t="shared" si="9"/>
        <v>30</v>
      </c>
      <c r="I31" s="39">
        <f t="shared" si="10"/>
        <v>30</v>
      </c>
      <c r="J31" s="68">
        <v>0</v>
      </c>
    </row>
    <row r="32" spans="1:10">
      <c r="A32" s="67">
        <v>11</v>
      </c>
      <c r="B32" s="68">
        <f t="shared" si="6"/>
        <v>75</v>
      </c>
      <c r="C32" s="138">
        <f t="shared" si="7"/>
        <v>0.9659266185307408</v>
      </c>
      <c r="D32" s="139">
        <f t="shared" si="8"/>
        <v>190.75052116362528</v>
      </c>
      <c r="E32" s="67">
        <v>146</v>
      </c>
      <c r="F32" s="39">
        <v>61</v>
      </c>
      <c r="G32" s="68">
        <v>207</v>
      </c>
      <c r="H32" s="67">
        <f t="shared" si="9"/>
        <v>15</v>
      </c>
      <c r="I32" s="39">
        <f t="shared" si="10"/>
        <v>15</v>
      </c>
      <c r="J32" s="68">
        <v>0</v>
      </c>
    </row>
    <row r="33" spans="1:10">
      <c r="A33" s="67">
        <v>12</v>
      </c>
      <c r="B33" s="68">
        <f t="shared" si="6"/>
        <v>90</v>
      </c>
      <c r="C33" s="138">
        <f t="shared" si="7"/>
        <v>0.99999999999325373</v>
      </c>
      <c r="D33" s="139">
        <f t="shared" si="8"/>
        <v>197.47930898983478</v>
      </c>
      <c r="E33" s="67">
        <v>155</v>
      </c>
      <c r="F33" s="39">
        <v>63</v>
      </c>
      <c r="G33" s="68">
        <v>218</v>
      </c>
      <c r="H33" s="67">
        <f t="shared" si="9"/>
        <v>0</v>
      </c>
      <c r="I33" s="39">
        <f t="shared" si="10"/>
        <v>0</v>
      </c>
      <c r="J33" s="68">
        <v>0</v>
      </c>
    </row>
    <row r="34" spans="1:10">
      <c r="A34" s="67">
        <v>13</v>
      </c>
      <c r="B34" s="68">
        <f t="shared" si="6"/>
        <v>105</v>
      </c>
      <c r="C34" s="138">
        <f t="shared" si="7"/>
        <v>0.96592471713552197</v>
      </c>
      <c r="D34" s="139">
        <f t="shared" si="8"/>
        <v>190.75014567741138</v>
      </c>
      <c r="E34" s="67">
        <v>146</v>
      </c>
      <c r="F34" s="39">
        <v>61</v>
      </c>
      <c r="G34" s="68">
        <v>207</v>
      </c>
      <c r="H34" s="67">
        <f t="shared" si="9"/>
        <v>15</v>
      </c>
      <c r="I34" s="39">
        <f t="shared" si="10"/>
        <v>15</v>
      </c>
      <c r="J34" s="68">
        <v>0</v>
      </c>
    </row>
    <row r="35" spans="1:10">
      <c r="A35" s="67">
        <v>14</v>
      </c>
      <c r="B35" s="68">
        <f t="shared" si="6"/>
        <v>120</v>
      </c>
      <c r="C35" s="138">
        <f t="shared" si="7"/>
        <v>0.86602295497064974</v>
      </c>
      <c r="D35" s="139">
        <f t="shared" si="8"/>
        <v>171.02161471809248</v>
      </c>
      <c r="E35" s="67">
        <v>123</v>
      </c>
      <c r="F35" s="39">
        <v>54</v>
      </c>
      <c r="G35" s="68">
        <v>177</v>
      </c>
      <c r="H35" s="67">
        <f t="shared" si="9"/>
        <v>30</v>
      </c>
      <c r="I35" s="39">
        <f t="shared" si="10"/>
        <v>30</v>
      </c>
      <c r="J35" s="68">
        <v>0</v>
      </c>
    </row>
    <row r="36" spans="1:10">
      <c r="A36" s="67">
        <v>15</v>
      </c>
      <c r="B36" s="68">
        <f t="shared" si="6"/>
        <v>135</v>
      </c>
      <c r="C36" s="138">
        <f t="shared" si="7"/>
        <v>0.70710288515345854</v>
      </c>
      <c r="D36" s="139">
        <f t="shared" si="8"/>
        <v>139.63818914576552</v>
      </c>
      <c r="E36" s="67">
        <v>90</v>
      </c>
      <c r="F36" s="39">
        <v>44</v>
      </c>
      <c r="G36" s="68">
        <v>134</v>
      </c>
      <c r="H36" s="67">
        <f t="shared" si="9"/>
        <v>45</v>
      </c>
      <c r="I36" s="39">
        <f t="shared" si="10"/>
        <v>45</v>
      </c>
      <c r="J36" s="68">
        <v>0</v>
      </c>
    </row>
    <row r="37" spans="1:10">
      <c r="A37" s="67">
        <v>16</v>
      </c>
      <c r="B37" s="68">
        <f t="shared" si="6"/>
        <v>150</v>
      </c>
      <c r="C37" s="138">
        <f t="shared" si="7"/>
        <v>0.49999469817574232</v>
      </c>
      <c r="D37" s="139">
        <f t="shared" si="8"/>
        <v>98.738607494992721</v>
      </c>
      <c r="E37" s="67">
        <v>54</v>
      </c>
      <c r="F37" s="39">
        <v>31</v>
      </c>
      <c r="G37" s="68">
        <v>85</v>
      </c>
      <c r="H37" s="67">
        <f t="shared" si="9"/>
        <v>60</v>
      </c>
      <c r="I37" s="39">
        <f t="shared" si="10"/>
        <v>60</v>
      </c>
      <c r="J37" s="68">
        <v>0</v>
      </c>
    </row>
    <row r="38" spans="1:10">
      <c r="A38" s="67">
        <v>17</v>
      </c>
      <c r="B38" s="68">
        <f t="shared" si="6"/>
        <v>165</v>
      </c>
      <c r="C38" s="138">
        <f t="shared" si="7"/>
        <v>0.25881254034991502</v>
      </c>
      <c r="D38" s="139">
        <f t="shared" si="8"/>
        <v>51.110121626549756</v>
      </c>
      <c r="E38" s="67">
        <v>22</v>
      </c>
      <c r="F38" s="39">
        <v>16</v>
      </c>
      <c r="G38" s="68">
        <v>38</v>
      </c>
      <c r="H38" s="67">
        <f t="shared" si="9"/>
        <v>75</v>
      </c>
      <c r="I38" s="39">
        <f t="shared" si="10"/>
        <v>75</v>
      </c>
      <c r="J38" s="68">
        <v>0</v>
      </c>
    </row>
    <row r="39" spans="1:10">
      <c r="A39" s="67">
        <v>18</v>
      </c>
      <c r="B39" s="68">
        <f t="shared" si="6"/>
        <v>180</v>
      </c>
      <c r="C39" s="138">
        <f t="shared" si="7"/>
        <v>-7.3464102061994479E-6</v>
      </c>
      <c r="D39" s="139">
        <f t="shared" si="8"/>
        <v>-1.4507640110859238E-3</v>
      </c>
      <c r="E39" s="67"/>
      <c r="F39" s="39"/>
      <c r="G39" s="68"/>
      <c r="H39" s="67">
        <f>ABS(90-B39)</f>
        <v>90</v>
      </c>
      <c r="I39" s="39">
        <f t="shared" si="10"/>
        <v>90</v>
      </c>
      <c r="J39" s="68">
        <v>0</v>
      </c>
    </row>
    <row r="40" spans="1:10" ht="17.25">
      <c r="A40" s="140" t="s">
        <v>9</v>
      </c>
      <c r="B40" s="141"/>
      <c r="C40" s="142">
        <f>SUM(C27:C39)</f>
        <v>7.5957324727477795</v>
      </c>
      <c r="D40" s="143">
        <f>SUM(D27:D39)</f>
        <v>1500.0000000000002</v>
      </c>
      <c r="E40" s="144">
        <f>SUM(E28:E39)</f>
        <v>1025</v>
      </c>
      <c r="F40" s="3">
        <f t="shared" ref="F40:G40" si="11">SUM(F28:F39)</f>
        <v>475</v>
      </c>
      <c r="G40" s="145">
        <f t="shared" si="11"/>
        <v>1500</v>
      </c>
      <c r="H40" s="144"/>
      <c r="I40" s="3"/>
      <c r="J40" s="145"/>
    </row>
    <row r="42" spans="1:10">
      <c r="A42" s="619" t="s">
        <v>58</v>
      </c>
      <c r="B42" s="620"/>
      <c r="C42" s="620"/>
      <c r="D42" s="620"/>
      <c r="E42" s="620"/>
      <c r="F42" s="620"/>
      <c r="G42" s="620"/>
      <c r="H42" s="620"/>
      <c r="I42" s="620"/>
      <c r="J42" s="621"/>
    </row>
    <row r="43" spans="1:10">
      <c r="A43" s="124"/>
      <c r="B43" s="125"/>
      <c r="C43" s="126"/>
      <c r="D43" s="127"/>
      <c r="E43" s="622" t="s">
        <v>5</v>
      </c>
      <c r="F43" s="623"/>
      <c r="G43" s="624"/>
      <c r="H43" s="622" t="s">
        <v>17</v>
      </c>
      <c r="I43" s="623"/>
      <c r="J43" s="624"/>
    </row>
    <row r="44" spans="1:10" ht="50.1" customHeight="1">
      <c r="A44" s="128" t="s">
        <v>1</v>
      </c>
      <c r="B44" s="129" t="s">
        <v>7</v>
      </c>
      <c r="C44" s="130" t="s">
        <v>13</v>
      </c>
      <c r="D44" s="131" t="s">
        <v>10</v>
      </c>
      <c r="E44" s="128" t="s">
        <v>6</v>
      </c>
      <c r="F44" s="116" t="s">
        <v>11</v>
      </c>
      <c r="G44" s="129" t="s">
        <v>12</v>
      </c>
      <c r="H44" s="132" t="s">
        <v>62</v>
      </c>
      <c r="I44" s="133" t="s">
        <v>60</v>
      </c>
      <c r="J44" s="134" t="s">
        <v>61</v>
      </c>
    </row>
    <row r="45" spans="1:10" ht="15" customHeight="1">
      <c r="A45" s="120"/>
      <c r="B45" s="204" t="s">
        <v>8</v>
      </c>
      <c r="C45" s="205"/>
      <c r="D45" s="206"/>
      <c r="E45" s="207" t="s">
        <v>4</v>
      </c>
      <c r="F45" s="208" t="s">
        <v>4</v>
      </c>
      <c r="G45" s="204" t="s">
        <v>4</v>
      </c>
      <c r="H45" s="207" t="s">
        <v>8</v>
      </c>
      <c r="I45" s="208" t="s">
        <v>8</v>
      </c>
      <c r="J45" s="204" t="s">
        <v>8</v>
      </c>
    </row>
    <row r="46" spans="1:10" ht="15" customHeight="1">
      <c r="A46" s="67"/>
      <c r="B46" s="135"/>
      <c r="C46" s="136"/>
      <c r="D46" s="137"/>
      <c r="E46" s="121"/>
      <c r="F46" s="37"/>
      <c r="G46" s="135"/>
      <c r="H46" s="121"/>
      <c r="I46" s="37"/>
      <c r="J46" s="135"/>
    </row>
    <row r="47" spans="1:10" ht="15" customHeight="1">
      <c r="A47" s="67">
        <v>6</v>
      </c>
      <c r="B47" s="68">
        <f>(180/12)*(A47-6)</f>
        <v>0</v>
      </c>
      <c r="C47" s="138">
        <f>SIN(B47*3.1416/180)</f>
        <v>0</v>
      </c>
      <c r="D47" s="139">
        <f>C47*G$60/C$60</f>
        <v>0</v>
      </c>
      <c r="E47" s="121"/>
      <c r="F47" s="39"/>
      <c r="G47" s="68"/>
      <c r="H47" s="67">
        <f>ABS(90-B47)</f>
        <v>90</v>
      </c>
      <c r="I47" s="39">
        <f>ABS(90-B47)</f>
        <v>90</v>
      </c>
      <c r="J47" s="68">
        <v>0</v>
      </c>
    </row>
    <row r="48" spans="1:10">
      <c r="A48" s="67">
        <v>7</v>
      </c>
      <c r="B48" s="68">
        <f t="shared" ref="B48:B59" si="12">(180/12)*(A48-6)</f>
        <v>15</v>
      </c>
      <c r="C48" s="138">
        <f t="shared" ref="C48:C59" si="13">SIN(B48*3.1416/180)</f>
        <v>0.25881963644308476</v>
      </c>
      <c r="D48" s="139">
        <f t="shared" ref="D48:D59" si="14">C48*G$60/C$60</f>
        <v>34.074348638750294</v>
      </c>
      <c r="E48" s="67">
        <v>9</v>
      </c>
      <c r="F48" s="39">
        <v>16</v>
      </c>
      <c r="G48" s="68">
        <v>25</v>
      </c>
      <c r="H48" s="67">
        <f t="shared" ref="H48:H58" si="15">ABS(90-B48)</f>
        <v>75</v>
      </c>
      <c r="I48" s="39">
        <f t="shared" ref="I48:I59" si="16">ABS(90-B48)</f>
        <v>75</v>
      </c>
      <c r="J48" s="68">
        <v>0</v>
      </c>
    </row>
    <row r="49" spans="1:10">
      <c r="A49" s="67">
        <v>8</v>
      </c>
      <c r="B49" s="68">
        <f t="shared" si="12"/>
        <v>30</v>
      </c>
      <c r="C49" s="138">
        <f t="shared" si="13"/>
        <v>0.50000106036260283</v>
      </c>
      <c r="D49" s="139">
        <f t="shared" si="14"/>
        <v>65.826575930171742</v>
      </c>
      <c r="E49" s="67">
        <v>25</v>
      </c>
      <c r="F49" s="39">
        <v>31</v>
      </c>
      <c r="G49" s="68">
        <v>56</v>
      </c>
      <c r="H49" s="67">
        <f t="shared" si="15"/>
        <v>60</v>
      </c>
      <c r="I49" s="39">
        <f t="shared" si="16"/>
        <v>60</v>
      </c>
      <c r="J49" s="68">
        <v>0</v>
      </c>
    </row>
    <row r="50" spans="1:10">
      <c r="A50" s="67">
        <v>9</v>
      </c>
      <c r="B50" s="68">
        <f t="shared" si="12"/>
        <v>45</v>
      </c>
      <c r="C50" s="138">
        <f t="shared" si="13"/>
        <v>0.70710807985947355</v>
      </c>
      <c r="D50" s="139">
        <f t="shared" si="14"/>
        <v>93.092809995146524</v>
      </c>
      <c r="E50" s="67">
        <v>45</v>
      </c>
      <c r="F50" s="39">
        <v>44</v>
      </c>
      <c r="G50" s="68">
        <v>89</v>
      </c>
      <c r="H50" s="67">
        <f t="shared" si="15"/>
        <v>45</v>
      </c>
      <c r="I50" s="39">
        <f t="shared" si="16"/>
        <v>45</v>
      </c>
      <c r="J50" s="68">
        <v>0</v>
      </c>
    </row>
    <row r="51" spans="1:10">
      <c r="A51" s="67">
        <v>10</v>
      </c>
      <c r="B51" s="68">
        <f t="shared" si="12"/>
        <v>60</v>
      </c>
      <c r="C51" s="138">
        <f t="shared" si="13"/>
        <v>0.86602662818354326</v>
      </c>
      <c r="D51" s="139">
        <f t="shared" si="14"/>
        <v>114.01489340109097</v>
      </c>
      <c r="E51" s="67">
        <v>64</v>
      </c>
      <c r="F51" s="39">
        <v>54</v>
      </c>
      <c r="G51" s="68">
        <v>118</v>
      </c>
      <c r="H51" s="67">
        <f t="shared" si="15"/>
        <v>30</v>
      </c>
      <c r="I51" s="39">
        <f t="shared" si="16"/>
        <v>30</v>
      </c>
      <c r="J51" s="68">
        <v>0</v>
      </c>
    </row>
    <row r="52" spans="1:10">
      <c r="A52" s="67">
        <v>11</v>
      </c>
      <c r="B52" s="68">
        <f t="shared" si="12"/>
        <v>75</v>
      </c>
      <c r="C52" s="138">
        <f t="shared" si="13"/>
        <v>0.9659266185307408</v>
      </c>
      <c r="D52" s="139">
        <f t="shared" si="14"/>
        <v>127.16701410908354</v>
      </c>
      <c r="E52" s="67">
        <v>79</v>
      </c>
      <c r="F52" s="39">
        <v>60</v>
      </c>
      <c r="G52" s="68">
        <v>139</v>
      </c>
      <c r="H52" s="67">
        <f t="shared" si="15"/>
        <v>15</v>
      </c>
      <c r="I52" s="39">
        <f t="shared" si="16"/>
        <v>15</v>
      </c>
      <c r="J52" s="68">
        <v>0</v>
      </c>
    </row>
    <row r="53" spans="1:10">
      <c r="A53" s="67">
        <v>12</v>
      </c>
      <c r="B53" s="68">
        <f t="shared" si="12"/>
        <v>90</v>
      </c>
      <c r="C53" s="138">
        <f t="shared" si="13"/>
        <v>0.99999999999325373</v>
      </c>
      <c r="D53" s="139">
        <f t="shared" si="14"/>
        <v>131.65287265988985</v>
      </c>
      <c r="E53" s="67">
        <v>84</v>
      </c>
      <c r="F53" s="39">
        <v>62</v>
      </c>
      <c r="G53" s="68">
        <v>146</v>
      </c>
      <c r="H53" s="67">
        <f t="shared" si="15"/>
        <v>0</v>
      </c>
      <c r="I53" s="39">
        <f t="shared" si="16"/>
        <v>0</v>
      </c>
      <c r="J53" s="68">
        <v>0</v>
      </c>
    </row>
    <row r="54" spans="1:10">
      <c r="A54" s="67">
        <v>13</v>
      </c>
      <c r="B54" s="68">
        <f t="shared" si="12"/>
        <v>105</v>
      </c>
      <c r="C54" s="138">
        <f t="shared" si="13"/>
        <v>0.96592471713552197</v>
      </c>
      <c r="D54" s="139">
        <f t="shared" si="14"/>
        <v>127.16676378494091</v>
      </c>
      <c r="E54" s="67">
        <v>79</v>
      </c>
      <c r="F54" s="39">
        <v>60</v>
      </c>
      <c r="G54" s="68">
        <v>139</v>
      </c>
      <c r="H54" s="67">
        <f t="shared" si="15"/>
        <v>15</v>
      </c>
      <c r="I54" s="39">
        <f t="shared" si="16"/>
        <v>15</v>
      </c>
      <c r="J54" s="68">
        <v>0</v>
      </c>
    </row>
    <row r="55" spans="1:10">
      <c r="A55" s="67">
        <v>14</v>
      </c>
      <c r="B55" s="68">
        <f t="shared" si="12"/>
        <v>120</v>
      </c>
      <c r="C55" s="138">
        <f t="shared" si="13"/>
        <v>0.86602295497064974</v>
      </c>
      <c r="D55" s="139">
        <f t="shared" si="14"/>
        <v>114.01440981206164</v>
      </c>
      <c r="E55" s="67">
        <v>64</v>
      </c>
      <c r="F55" s="39">
        <v>54</v>
      </c>
      <c r="G55" s="68">
        <v>118</v>
      </c>
      <c r="H55" s="67">
        <f t="shared" si="15"/>
        <v>30</v>
      </c>
      <c r="I55" s="39">
        <f t="shared" si="16"/>
        <v>30</v>
      </c>
      <c r="J55" s="68">
        <v>0</v>
      </c>
    </row>
    <row r="56" spans="1:10">
      <c r="A56" s="67">
        <v>15</v>
      </c>
      <c r="B56" s="68">
        <f t="shared" si="12"/>
        <v>135</v>
      </c>
      <c r="C56" s="138">
        <f t="shared" si="13"/>
        <v>0.70710288515345854</v>
      </c>
      <c r="D56" s="139">
        <f t="shared" si="14"/>
        <v>93.092126097177015</v>
      </c>
      <c r="E56" s="67">
        <v>45</v>
      </c>
      <c r="F56" s="39">
        <v>44</v>
      </c>
      <c r="G56" s="68">
        <v>89</v>
      </c>
      <c r="H56" s="67">
        <f t="shared" si="15"/>
        <v>45</v>
      </c>
      <c r="I56" s="39">
        <f t="shared" si="16"/>
        <v>45</v>
      </c>
      <c r="J56" s="68">
        <v>0</v>
      </c>
    </row>
    <row r="57" spans="1:10">
      <c r="A57" s="67">
        <v>16</v>
      </c>
      <c r="B57" s="68">
        <f t="shared" si="12"/>
        <v>150</v>
      </c>
      <c r="C57" s="138">
        <f t="shared" si="13"/>
        <v>0.49999469817574232</v>
      </c>
      <c r="D57" s="139">
        <f t="shared" si="14"/>
        <v>65.825738329995147</v>
      </c>
      <c r="E57" s="67">
        <v>25</v>
      </c>
      <c r="F57" s="39">
        <v>31</v>
      </c>
      <c r="G57" s="68">
        <v>56</v>
      </c>
      <c r="H57" s="67">
        <f t="shared" si="15"/>
        <v>60</v>
      </c>
      <c r="I57" s="39">
        <f t="shared" si="16"/>
        <v>60</v>
      </c>
      <c r="J57" s="68">
        <v>0</v>
      </c>
    </row>
    <row r="58" spans="1:10">
      <c r="A58" s="67">
        <v>17</v>
      </c>
      <c r="B58" s="68">
        <f t="shared" si="12"/>
        <v>165</v>
      </c>
      <c r="C58" s="138">
        <f t="shared" si="13"/>
        <v>0.25881254034991502</v>
      </c>
      <c r="D58" s="139">
        <f t="shared" si="14"/>
        <v>34.073414417699837</v>
      </c>
      <c r="E58" s="67">
        <v>9</v>
      </c>
      <c r="F58" s="39">
        <v>16</v>
      </c>
      <c r="G58" s="68">
        <v>25</v>
      </c>
      <c r="H58" s="67">
        <f t="shared" si="15"/>
        <v>75</v>
      </c>
      <c r="I58" s="39">
        <f t="shared" si="16"/>
        <v>75</v>
      </c>
      <c r="J58" s="68">
        <v>0</v>
      </c>
    </row>
    <row r="59" spans="1:10">
      <c r="A59" s="67">
        <v>18</v>
      </c>
      <c r="B59" s="68">
        <f t="shared" si="12"/>
        <v>180</v>
      </c>
      <c r="C59" s="138">
        <f t="shared" si="13"/>
        <v>-7.3464102061994479E-6</v>
      </c>
      <c r="D59" s="139">
        <f t="shared" si="14"/>
        <v>-9.6717600739061594E-4</v>
      </c>
      <c r="E59" s="67"/>
      <c r="F59" s="39"/>
      <c r="G59" s="68"/>
      <c r="H59" s="67">
        <f>ABS(90-B59)</f>
        <v>90</v>
      </c>
      <c r="I59" s="39">
        <f t="shared" si="16"/>
        <v>90</v>
      </c>
      <c r="J59" s="68">
        <v>0</v>
      </c>
    </row>
    <row r="60" spans="1:10" ht="17.25">
      <c r="A60" s="140" t="s">
        <v>9</v>
      </c>
      <c r="B60" s="141"/>
      <c r="C60" s="142">
        <f>SUM(C47:C59)</f>
        <v>7.5957324727477795</v>
      </c>
      <c r="D60" s="143">
        <f>SUM(D47:D59)</f>
        <v>1000.0000000000002</v>
      </c>
      <c r="E60" s="144">
        <f>SUM(E48:E59)</f>
        <v>528</v>
      </c>
      <c r="F60" s="3">
        <f t="shared" ref="F60:G60" si="17">SUM(F48:F59)</f>
        <v>472</v>
      </c>
      <c r="G60" s="145">
        <f t="shared" si="17"/>
        <v>1000</v>
      </c>
      <c r="H60" s="144"/>
      <c r="I60" s="3"/>
      <c r="J60" s="145"/>
    </row>
    <row r="63" spans="1:10">
      <c r="A63" s="619" t="s">
        <v>72</v>
      </c>
      <c r="B63" s="620"/>
      <c r="C63" s="620"/>
      <c r="D63" s="620"/>
      <c r="E63" s="620"/>
      <c r="F63" s="620"/>
      <c r="G63" s="620"/>
      <c r="H63" s="620"/>
      <c r="I63" s="620"/>
      <c r="J63" s="621"/>
    </row>
    <row r="64" spans="1:10">
      <c r="A64" s="148"/>
      <c r="B64" s="622" t="s">
        <v>14</v>
      </c>
      <c r="C64" s="623"/>
      <c r="D64" s="624"/>
      <c r="E64" s="622" t="s">
        <v>15</v>
      </c>
      <c r="F64" s="623"/>
      <c r="G64" s="624"/>
      <c r="H64" s="622" t="s">
        <v>16</v>
      </c>
      <c r="I64" s="623"/>
      <c r="J64" s="624"/>
    </row>
    <row r="65" spans="1:10" ht="33">
      <c r="A65" s="149" t="s">
        <v>1</v>
      </c>
      <c r="B65" s="128" t="s">
        <v>6</v>
      </c>
      <c r="C65" s="150" t="s">
        <v>74</v>
      </c>
      <c r="D65" s="131" t="s">
        <v>75</v>
      </c>
      <c r="E65" s="128" t="s">
        <v>6</v>
      </c>
      <c r="F65" s="116" t="s">
        <v>11</v>
      </c>
      <c r="G65" s="129" t="s">
        <v>12</v>
      </c>
      <c r="H65" s="128" t="s">
        <v>6</v>
      </c>
      <c r="I65" s="116" t="s">
        <v>11</v>
      </c>
      <c r="J65" s="129" t="s">
        <v>12</v>
      </c>
    </row>
    <row r="66" spans="1:10" ht="17.25">
      <c r="A66" s="217"/>
      <c r="B66" s="207" t="s">
        <v>4</v>
      </c>
      <c r="C66" s="218" t="s">
        <v>76</v>
      </c>
      <c r="D66" s="206" t="s">
        <v>76</v>
      </c>
      <c r="E66" s="207" t="s">
        <v>4</v>
      </c>
      <c r="F66" s="208" t="s">
        <v>4</v>
      </c>
      <c r="G66" s="204" t="s">
        <v>4</v>
      </c>
      <c r="H66" s="207" t="s">
        <v>4</v>
      </c>
      <c r="I66" s="208" t="s">
        <v>4</v>
      </c>
      <c r="J66" s="204" t="s">
        <v>4</v>
      </c>
    </row>
    <row r="67" spans="1:10">
      <c r="A67" s="151">
        <v>7</v>
      </c>
      <c r="B67" s="67">
        <v>37</v>
      </c>
      <c r="C67" s="152">
        <v>15</v>
      </c>
      <c r="D67" s="153">
        <v>52</v>
      </c>
      <c r="E67" s="67">
        <v>22</v>
      </c>
      <c r="F67" s="39">
        <v>16</v>
      </c>
      <c r="G67" s="68">
        <v>38</v>
      </c>
      <c r="H67" s="67">
        <v>9</v>
      </c>
      <c r="I67" s="39">
        <v>16</v>
      </c>
      <c r="J67" s="68">
        <v>25</v>
      </c>
    </row>
    <row r="68" spans="1:10">
      <c r="A68" s="151">
        <v>8</v>
      </c>
      <c r="B68" s="67">
        <v>85</v>
      </c>
      <c r="C68" s="152">
        <v>29</v>
      </c>
      <c r="D68" s="153">
        <v>114</v>
      </c>
      <c r="E68" s="67">
        <v>54</v>
      </c>
      <c r="F68" s="39">
        <v>31</v>
      </c>
      <c r="G68" s="68">
        <v>85</v>
      </c>
      <c r="H68" s="67">
        <v>25</v>
      </c>
      <c r="I68" s="39">
        <v>31</v>
      </c>
      <c r="J68" s="68">
        <v>56</v>
      </c>
    </row>
    <row r="69" spans="1:10">
      <c r="A69" s="151">
        <v>9</v>
      </c>
      <c r="B69" s="67">
        <v>138</v>
      </c>
      <c r="C69" s="152">
        <v>40</v>
      </c>
      <c r="D69" s="153">
        <v>178</v>
      </c>
      <c r="E69" s="67">
        <v>90</v>
      </c>
      <c r="F69" s="39">
        <v>44</v>
      </c>
      <c r="G69" s="68">
        <v>134</v>
      </c>
      <c r="H69" s="67">
        <v>45</v>
      </c>
      <c r="I69" s="39">
        <v>44</v>
      </c>
      <c r="J69" s="68">
        <v>89</v>
      </c>
    </row>
    <row r="70" spans="1:10">
      <c r="A70" s="151">
        <v>10</v>
      </c>
      <c r="B70" s="67">
        <v>187</v>
      </c>
      <c r="C70" s="152">
        <v>50</v>
      </c>
      <c r="D70" s="153">
        <v>237</v>
      </c>
      <c r="E70" s="67">
        <v>123</v>
      </c>
      <c r="F70" s="39">
        <v>54</v>
      </c>
      <c r="G70" s="68">
        <v>177</v>
      </c>
      <c r="H70" s="67">
        <v>64</v>
      </c>
      <c r="I70" s="39">
        <v>54</v>
      </c>
      <c r="J70" s="68">
        <v>118</v>
      </c>
    </row>
    <row r="71" spans="1:10">
      <c r="A71" s="151">
        <v>11</v>
      </c>
      <c r="B71" s="67">
        <v>220</v>
      </c>
      <c r="C71" s="152">
        <v>55</v>
      </c>
      <c r="D71" s="153">
        <v>275</v>
      </c>
      <c r="E71" s="67">
        <v>146</v>
      </c>
      <c r="F71" s="39">
        <v>61</v>
      </c>
      <c r="G71" s="68">
        <v>207</v>
      </c>
      <c r="H71" s="67">
        <v>79</v>
      </c>
      <c r="I71" s="39">
        <v>60</v>
      </c>
      <c r="J71" s="68">
        <v>139</v>
      </c>
    </row>
    <row r="72" spans="1:10">
      <c r="A72" s="151">
        <v>12</v>
      </c>
      <c r="B72" s="67">
        <v>231</v>
      </c>
      <c r="C72" s="152">
        <v>57</v>
      </c>
      <c r="D72" s="153">
        <v>288</v>
      </c>
      <c r="E72" s="67">
        <v>155</v>
      </c>
      <c r="F72" s="39">
        <v>63</v>
      </c>
      <c r="G72" s="68">
        <v>218</v>
      </c>
      <c r="H72" s="67">
        <v>84</v>
      </c>
      <c r="I72" s="39">
        <v>62</v>
      </c>
      <c r="J72" s="68">
        <v>146</v>
      </c>
    </row>
    <row r="73" spans="1:10">
      <c r="A73" s="151">
        <v>13</v>
      </c>
      <c r="B73" s="67">
        <v>220</v>
      </c>
      <c r="C73" s="152">
        <v>55</v>
      </c>
      <c r="D73" s="153">
        <v>275</v>
      </c>
      <c r="E73" s="67">
        <v>146</v>
      </c>
      <c r="F73" s="39">
        <v>61</v>
      </c>
      <c r="G73" s="68">
        <v>207</v>
      </c>
      <c r="H73" s="67">
        <v>79</v>
      </c>
      <c r="I73" s="39">
        <v>60</v>
      </c>
      <c r="J73" s="68">
        <v>139</v>
      </c>
    </row>
    <row r="74" spans="1:10">
      <c r="A74" s="151">
        <v>14</v>
      </c>
      <c r="B74" s="67">
        <v>187</v>
      </c>
      <c r="C74" s="152">
        <v>50</v>
      </c>
      <c r="D74" s="153">
        <v>237</v>
      </c>
      <c r="E74" s="67">
        <v>123</v>
      </c>
      <c r="F74" s="39">
        <v>54</v>
      </c>
      <c r="G74" s="68">
        <v>177</v>
      </c>
      <c r="H74" s="67">
        <v>64</v>
      </c>
      <c r="I74" s="39">
        <v>54</v>
      </c>
      <c r="J74" s="68">
        <v>118</v>
      </c>
    </row>
    <row r="75" spans="1:10">
      <c r="A75" s="151">
        <v>15</v>
      </c>
      <c r="B75" s="67">
        <v>138</v>
      </c>
      <c r="C75" s="152">
        <v>40</v>
      </c>
      <c r="D75" s="153">
        <v>178</v>
      </c>
      <c r="E75" s="67">
        <v>90</v>
      </c>
      <c r="F75" s="39">
        <v>44</v>
      </c>
      <c r="G75" s="68">
        <v>134</v>
      </c>
      <c r="H75" s="67">
        <v>45</v>
      </c>
      <c r="I75" s="39">
        <v>44</v>
      </c>
      <c r="J75" s="68">
        <v>89</v>
      </c>
    </row>
    <row r="76" spans="1:10">
      <c r="A76" s="151">
        <v>16</v>
      </c>
      <c r="B76" s="67">
        <v>85</v>
      </c>
      <c r="C76" s="152">
        <v>29</v>
      </c>
      <c r="D76" s="153">
        <v>114</v>
      </c>
      <c r="E76" s="67">
        <v>54</v>
      </c>
      <c r="F76" s="39">
        <v>31</v>
      </c>
      <c r="G76" s="68">
        <v>85</v>
      </c>
      <c r="H76" s="67">
        <v>25</v>
      </c>
      <c r="I76" s="39">
        <v>31</v>
      </c>
      <c r="J76" s="68">
        <v>56</v>
      </c>
    </row>
    <row r="77" spans="1:10">
      <c r="A77" s="151">
        <v>17</v>
      </c>
      <c r="B77" s="67">
        <v>37</v>
      </c>
      <c r="C77" s="152">
        <v>15</v>
      </c>
      <c r="D77" s="153">
        <v>52</v>
      </c>
      <c r="E77" s="67">
        <v>22</v>
      </c>
      <c r="F77" s="39">
        <v>16</v>
      </c>
      <c r="G77" s="68">
        <v>38</v>
      </c>
      <c r="H77" s="67">
        <v>9</v>
      </c>
      <c r="I77" s="39">
        <v>16</v>
      </c>
      <c r="J77" s="68">
        <v>25</v>
      </c>
    </row>
    <row r="78" spans="1:10" ht="17.25">
      <c r="A78" s="154" t="s">
        <v>9</v>
      </c>
      <c r="B78" s="144">
        <f t="shared" ref="B78:J78" si="18">SUM(B67:B77)</f>
        <v>1565</v>
      </c>
      <c r="C78" s="155">
        <f t="shared" si="18"/>
        <v>435</v>
      </c>
      <c r="D78" s="156">
        <f t="shared" si="18"/>
        <v>2000</v>
      </c>
      <c r="E78" s="144">
        <f t="shared" si="18"/>
        <v>1025</v>
      </c>
      <c r="F78" s="3">
        <f t="shared" si="18"/>
        <v>475</v>
      </c>
      <c r="G78" s="145">
        <f t="shared" si="18"/>
        <v>1500</v>
      </c>
      <c r="H78" s="144">
        <f t="shared" si="18"/>
        <v>528</v>
      </c>
      <c r="I78" s="3">
        <f t="shared" si="18"/>
        <v>472</v>
      </c>
      <c r="J78" s="145">
        <f t="shared" si="18"/>
        <v>1000</v>
      </c>
    </row>
  </sheetData>
  <mergeCells count="13">
    <mergeCell ref="A63:J63"/>
    <mergeCell ref="B64:D64"/>
    <mergeCell ref="E64:G64"/>
    <mergeCell ref="H64:J64"/>
    <mergeCell ref="A2:J2"/>
    <mergeCell ref="E3:G3"/>
    <mergeCell ref="A22:J22"/>
    <mergeCell ref="H3:J3"/>
    <mergeCell ref="E23:G23"/>
    <mergeCell ref="H23:J23"/>
    <mergeCell ref="A42:J42"/>
    <mergeCell ref="E43:G43"/>
    <mergeCell ref="H43:J4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AB78"/>
  <sheetViews>
    <sheetView topLeftCell="A10" zoomScaleNormal="100" workbookViewId="0">
      <selection activeCell="I56" sqref="I56"/>
    </sheetView>
  </sheetViews>
  <sheetFormatPr defaultRowHeight="15"/>
  <cols>
    <col min="1" max="1" width="19" style="158" customWidth="1"/>
    <col min="2" max="12" width="15.7109375" style="158" customWidth="1"/>
    <col min="13" max="16384" width="9.140625" style="158"/>
  </cols>
  <sheetData>
    <row r="1" spans="1:28" ht="18.75">
      <c r="A1" s="157" t="s">
        <v>73</v>
      </c>
      <c r="K1" s="159"/>
      <c r="L1" s="159"/>
      <c r="M1" s="160"/>
      <c r="N1" s="160"/>
      <c r="O1" s="160"/>
      <c r="P1" s="160"/>
      <c r="Q1" s="160"/>
      <c r="R1" s="160"/>
    </row>
    <row r="2" spans="1:28" ht="18.95" customHeight="1">
      <c r="A2" s="625" t="s">
        <v>3</v>
      </c>
      <c r="B2" s="626"/>
      <c r="C2" s="626"/>
      <c r="D2" s="626"/>
      <c r="E2" s="626"/>
      <c r="F2" s="626"/>
      <c r="G2" s="626"/>
      <c r="H2" s="626"/>
      <c r="I2" s="161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</row>
    <row r="3" spans="1:28" ht="18.95" customHeight="1">
      <c r="A3" s="627" t="s">
        <v>1</v>
      </c>
      <c r="B3" s="630" t="s">
        <v>64</v>
      </c>
      <c r="C3" s="633" t="s">
        <v>5</v>
      </c>
      <c r="D3" s="634"/>
      <c r="E3" s="635"/>
      <c r="F3" s="633" t="s">
        <v>17</v>
      </c>
      <c r="G3" s="634"/>
      <c r="H3" s="635"/>
      <c r="J3" s="202" t="s">
        <v>63</v>
      </c>
      <c r="K3" s="203"/>
    </row>
    <row r="4" spans="1:28" ht="30" customHeight="1">
      <c r="A4" s="628"/>
      <c r="B4" s="631"/>
      <c r="C4" s="636" t="s">
        <v>78</v>
      </c>
      <c r="D4" s="638" t="s">
        <v>79</v>
      </c>
      <c r="E4" s="640" t="s">
        <v>80</v>
      </c>
      <c r="F4" s="636" t="s">
        <v>86</v>
      </c>
      <c r="G4" s="638" t="s">
        <v>65</v>
      </c>
      <c r="H4" s="640" t="s">
        <v>81</v>
      </c>
      <c r="J4" s="163" t="s">
        <v>77</v>
      </c>
      <c r="K4" s="164">
        <v>0.29307100000000003</v>
      </c>
    </row>
    <row r="5" spans="1:28" ht="30" customHeight="1">
      <c r="A5" s="629"/>
      <c r="B5" s="632"/>
      <c r="C5" s="637"/>
      <c r="D5" s="639"/>
      <c r="E5" s="641"/>
      <c r="F5" s="637"/>
      <c r="G5" s="639"/>
      <c r="H5" s="641"/>
      <c r="J5" s="163" t="s">
        <v>82</v>
      </c>
      <c r="K5" s="164">
        <v>9.2902999999999999E-2</v>
      </c>
    </row>
    <row r="6" spans="1:28" ht="15" customHeight="1">
      <c r="A6" s="165" t="s">
        <v>66</v>
      </c>
      <c r="B6" s="166" t="s">
        <v>8</v>
      </c>
      <c r="C6" s="167" t="s">
        <v>83</v>
      </c>
      <c r="D6" s="168" t="s">
        <v>83</v>
      </c>
      <c r="E6" s="169" t="s">
        <v>83</v>
      </c>
      <c r="F6" s="165" t="s">
        <v>8</v>
      </c>
      <c r="G6" s="170" t="s">
        <v>8</v>
      </c>
      <c r="H6" s="166" t="s">
        <v>8</v>
      </c>
    </row>
    <row r="7" spans="1:28" ht="15" customHeight="1">
      <c r="A7" s="171">
        <v>6</v>
      </c>
      <c r="B7" s="172">
        <f>(180/12)*ABS(12-A7)</f>
        <v>90</v>
      </c>
      <c r="C7" s="173"/>
      <c r="D7" s="174"/>
      <c r="E7" s="175"/>
      <c r="F7" s="171">
        <f>B7</f>
        <v>90</v>
      </c>
      <c r="G7" s="176">
        <f>B7</f>
        <v>90</v>
      </c>
      <c r="H7" s="177">
        <v>0</v>
      </c>
    </row>
    <row r="8" spans="1:28">
      <c r="A8" s="178">
        <v>7</v>
      </c>
      <c r="B8" s="172">
        <f t="shared" ref="B8:B19" si="0">(180/12)*ABS(12-A8)</f>
        <v>75</v>
      </c>
      <c r="C8" s="179">
        <f>'Irradiance (IP)'!E8*$K$4/$K$5</f>
        <v>116.71987987470804</v>
      </c>
      <c r="D8" s="180">
        <f>'Irradiance (IP)'!F8*$K$4/$K$5</f>
        <v>47.318870219476231</v>
      </c>
      <c r="E8" s="181">
        <f>'Irradiance (IP)'!G8*$K$4/$K$5</f>
        <v>164.03875009418428</v>
      </c>
      <c r="F8" s="178">
        <f t="shared" ref="F8:F19" si="1">B8</f>
        <v>75</v>
      </c>
      <c r="G8" s="158">
        <f t="shared" ref="G8:G19" si="2">B8</f>
        <v>75</v>
      </c>
      <c r="H8" s="172">
        <v>0</v>
      </c>
    </row>
    <row r="9" spans="1:28">
      <c r="A9" s="178">
        <v>8</v>
      </c>
      <c r="B9" s="172">
        <f t="shared" si="0"/>
        <v>60</v>
      </c>
      <c r="C9" s="179">
        <f>'Irradiance (IP)'!E9*$K$4/$K$5</f>
        <v>268.14026457703199</v>
      </c>
      <c r="D9" s="180">
        <f>'Irradiance (IP)'!F9*$K$4/$K$5</f>
        <v>91.483149090987382</v>
      </c>
      <c r="E9" s="181">
        <f>'Irradiance (IP)'!G9*$K$4/$K$5</f>
        <v>359.62341366801934</v>
      </c>
      <c r="F9" s="178">
        <f t="shared" si="1"/>
        <v>60</v>
      </c>
      <c r="G9" s="158">
        <f t="shared" si="2"/>
        <v>60</v>
      </c>
      <c r="H9" s="172">
        <v>0</v>
      </c>
    </row>
    <row r="10" spans="1:28">
      <c r="A10" s="178">
        <v>9</v>
      </c>
      <c r="B10" s="172">
        <f t="shared" si="0"/>
        <v>45</v>
      </c>
      <c r="C10" s="179">
        <f>'Irradiance (IP)'!E10*$K$4/$K$5</f>
        <v>435.33360601918133</v>
      </c>
      <c r="D10" s="180">
        <f>'Irradiance (IP)'!F10*$K$4/$K$5</f>
        <v>126.1836539186033</v>
      </c>
      <c r="E10" s="181">
        <f>'Irradiance (IP)'!G10*$K$4/$K$5</f>
        <v>561.51725993778462</v>
      </c>
      <c r="F10" s="178">
        <f t="shared" si="1"/>
        <v>45</v>
      </c>
      <c r="G10" s="158">
        <f t="shared" si="2"/>
        <v>45</v>
      </c>
      <c r="H10" s="172">
        <v>0</v>
      </c>
    </row>
    <row r="11" spans="1:28">
      <c r="A11" s="178">
        <v>10</v>
      </c>
      <c r="B11" s="172">
        <f t="shared" si="0"/>
        <v>30</v>
      </c>
      <c r="C11" s="179">
        <f>'Irradiance (IP)'!E11*$K$4/$K$5</f>
        <v>589.90858206947041</v>
      </c>
      <c r="D11" s="180">
        <f>'Irradiance (IP)'!F11*$K$4/$K$5</f>
        <v>157.72956739825409</v>
      </c>
      <c r="E11" s="181">
        <f>'Irradiance (IP)'!G11*$K$4/$K$5</f>
        <v>747.63814946772447</v>
      </c>
      <c r="F11" s="178">
        <f t="shared" si="1"/>
        <v>30</v>
      </c>
      <c r="G11" s="158">
        <f t="shared" si="2"/>
        <v>30</v>
      </c>
      <c r="H11" s="172">
        <v>0</v>
      </c>
    </row>
    <row r="12" spans="1:28">
      <c r="A12" s="178">
        <v>11</v>
      </c>
      <c r="B12" s="172">
        <f t="shared" si="0"/>
        <v>15</v>
      </c>
      <c r="C12" s="179">
        <f>'Irradiance (IP)'!E12*$K$4/$K$5</f>
        <v>694.01009655231803</v>
      </c>
      <c r="D12" s="180">
        <f>'Irradiance (IP)'!F12*$K$4/$K$5</f>
        <v>173.50252413807951</v>
      </c>
      <c r="E12" s="181">
        <f>'Irradiance (IP)'!G12*$K$4/$K$5</f>
        <v>867.51262069039751</v>
      </c>
      <c r="F12" s="178">
        <f t="shared" si="1"/>
        <v>15</v>
      </c>
      <c r="G12" s="158">
        <f t="shared" si="2"/>
        <v>15</v>
      </c>
      <c r="H12" s="172">
        <v>0</v>
      </c>
    </row>
    <row r="13" spans="1:28">
      <c r="A13" s="178">
        <v>12</v>
      </c>
      <c r="B13" s="172">
        <f t="shared" si="0"/>
        <v>0</v>
      </c>
      <c r="C13" s="179">
        <f>'Irradiance (IP)'!E13*$K$4/$K$5</f>
        <v>728.71060137993402</v>
      </c>
      <c r="D13" s="180">
        <f>'Irradiance (IP)'!F13*$K$4/$K$5</f>
        <v>179.81170683400967</v>
      </c>
      <c r="E13" s="181">
        <f>'Irradiance (IP)'!G13*$K$4/$K$5</f>
        <v>908.52230821394357</v>
      </c>
      <c r="F13" s="178">
        <f t="shared" si="1"/>
        <v>0</v>
      </c>
      <c r="G13" s="158">
        <f t="shared" si="2"/>
        <v>0</v>
      </c>
      <c r="H13" s="172">
        <v>0</v>
      </c>
    </row>
    <row r="14" spans="1:28">
      <c r="A14" s="178">
        <v>13</v>
      </c>
      <c r="B14" s="172">
        <f t="shared" si="0"/>
        <v>15</v>
      </c>
      <c r="C14" s="179">
        <f>'Irradiance (IP)'!E14*$K$4/$K$5</f>
        <v>694.01009655231803</v>
      </c>
      <c r="D14" s="180">
        <f>'Irradiance (IP)'!F14*$K$4/$K$5</f>
        <v>173.50252413807951</v>
      </c>
      <c r="E14" s="181">
        <f>'Irradiance (IP)'!G14*$K$4/$K$5</f>
        <v>867.51262069039751</v>
      </c>
      <c r="F14" s="178">
        <f t="shared" si="1"/>
        <v>15</v>
      </c>
      <c r="G14" s="158">
        <f t="shared" si="2"/>
        <v>15</v>
      </c>
      <c r="H14" s="172">
        <v>0</v>
      </c>
    </row>
    <row r="15" spans="1:28">
      <c r="A15" s="178">
        <v>14</v>
      </c>
      <c r="B15" s="172">
        <f t="shared" si="0"/>
        <v>30</v>
      </c>
      <c r="C15" s="179">
        <f>'Irradiance (IP)'!E15*$K$4/$K$5</f>
        <v>589.90858206947041</v>
      </c>
      <c r="D15" s="180">
        <f>'Irradiance (IP)'!F15*$K$4/$K$5</f>
        <v>157.72956739825409</v>
      </c>
      <c r="E15" s="181">
        <f>'Irradiance (IP)'!G15*$K$4/$K$5</f>
        <v>747.63814946772447</v>
      </c>
      <c r="F15" s="178">
        <f t="shared" si="1"/>
        <v>30</v>
      </c>
      <c r="G15" s="158">
        <f t="shared" si="2"/>
        <v>30</v>
      </c>
      <c r="H15" s="172">
        <v>0</v>
      </c>
    </row>
    <row r="16" spans="1:28">
      <c r="A16" s="178">
        <v>15</v>
      </c>
      <c r="B16" s="172">
        <f t="shared" si="0"/>
        <v>45</v>
      </c>
      <c r="C16" s="179">
        <f>'Irradiance (IP)'!E16*$K$4/$K$5</f>
        <v>435.33360601918133</v>
      </c>
      <c r="D16" s="180">
        <f>'Irradiance (IP)'!F16*$K$4/$K$5</f>
        <v>126.1836539186033</v>
      </c>
      <c r="E16" s="181">
        <f>'Irradiance (IP)'!G16*$K$4/$K$5</f>
        <v>561.51725993778462</v>
      </c>
      <c r="F16" s="178">
        <f t="shared" si="1"/>
        <v>45</v>
      </c>
      <c r="G16" s="158">
        <f t="shared" si="2"/>
        <v>45</v>
      </c>
      <c r="H16" s="172">
        <v>0</v>
      </c>
    </row>
    <row r="17" spans="1:10">
      <c r="A17" s="178">
        <v>16</v>
      </c>
      <c r="B17" s="172">
        <f t="shared" si="0"/>
        <v>60</v>
      </c>
      <c r="C17" s="179">
        <f>'Irradiance (IP)'!E17*$K$4/$K$5</f>
        <v>268.14026457703199</v>
      </c>
      <c r="D17" s="180">
        <f>'Irradiance (IP)'!F17*$K$4/$K$5</f>
        <v>91.483149090987382</v>
      </c>
      <c r="E17" s="181">
        <f>'Irradiance (IP)'!G17*$K$4/$K$5</f>
        <v>359.62341366801934</v>
      </c>
      <c r="F17" s="178">
        <f t="shared" si="1"/>
        <v>60</v>
      </c>
      <c r="G17" s="158">
        <f t="shared" si="2"/>
        <v>60</v>
      </c>
      <c r="H17" s="172">
        <v>0</v>
      </c>
    </row>
    <row r="18" spans="1:10">
      <c r="A18" s="178">
        <v>17</v>
      </c>
      <c r="B18" s="172">
        <f t="shared" si="0"/>
        <v>75</v>
      </c>
      <c r="C18" s="179">
        <f>'Irradiance (IP)'!E18*$K$4/$K$5</f>
        <v>116.71987987470804</v>
      </c>
      <c r="D18" s="180">
        <f>'Irradiance (IP)'!F18*$K$4/$K$5</f>
        <v>47.318870219476231</v>
      </c>
      <c r="E18" s="181">
        <f>'Irradiance (IP)'!G18*$K$4/$K$5</f>
        <v>164.03875009418428</v>
      </c>
      <c r="F18" s="178">
        <f t="shared" si="1"/>
        <v>75</v>
      </c>
      <c r="G18" s="158">
        <f t="shared" si="2"/>
        <v>75</v>
      </c>
      <c r="H18" s="172">
        <v>0</v>
      </c>
    </row>
    <row r="19" spans="1:10">
      <c r="A19" s="178">
        <v>18</v>
      </c>
      <c r="B19" s="172">
        <f t="shared" si="0"/>
        <v>90</v>
      </c>
      <c r="C19" s="178"/>
      <c r="E19" s="172"/>
      <c r="F19" s="178">
        <f t="shared" si="1"/>
        <v>90</v>
      </c>
      <c r="G19" s="158">
        <f t="shared" si="2"/>
        <v>90</v>
      </c>
      <c r="H19" s="172">
        <v>0</v>
      </c>
    </row>
    <row r="20" spans="1:10" ht="17.25">
      <c r="A20" s="642" t="s">
        <v>84</v>
      </c>
      <c r="B20" s="643"/>
      <c r="C20" s="182">
        <f>SUM(C8:C19)/1000</f>
        <v>4.936935459565353</v>
      </c>
      <c r="D20" s="183">
        <f t="shared" ref="D20:E20" si="3">SUM(D8:D19)/1000</f>
        <v>1.3722472363648106</v>
      </c>
      <c r="E20" s="184">
        <f t="shared" si="3"/>
        <v>6.309182695930164</v>
      </c>
      <c r="F20" s="185"/>
      <c r="G20" s="186"/>
      <c r="H20" s="186"/>
    </row>
    <row r="22" spans="1:10" ht="18.75">
      <c r="A22" s="625" t="s">
        <v>2</v>
      </c>
      <c r="B22" s="626"/>
      <c r="C22" s="626"/>
      <c r="D22" s="626"/>
      <c r="E22" s="626"/>
      <c r="F22" s="626"/>
      <c r="G22" s="626"/>
      <c r="H22" s="644"/>
      <c r="I22" s="187"/>
      <c r="J22" s="187"/>
    </row>
    <row r="23" spans="1:10" ht="15" customHeight="1">
      <c r="A23" s="627" t="s">
        <v>1</v>
      </c>
      <c r="B23" s="645" t="s">
        <v>64</v>
      </c>
      <c r="C23" s="633" t="s">
        <v>5</v>
      </c>
      <c r="D23" s="634"/>
      <c r="E23" s="635"/>
      <c r="F23" s="633" t="s">
        <v>17</v>
      </c>
      <c r="G23" s="634"/>
      <c r="H23" s="635"/>
      <c r="I23" s="187"/>
      <c r="J23" s="187"/>
    </row>
    <row r="24" spans="1:10" ht="30" customHeight="1">
      <c r="A24" s="628"/>
      <c r="B24" s="646"/>
      <c r="C24" s="636" t="s">
        <v>78</v>
      </c>
      <c r="D24" s="638" t="s">
        <v>79</v>
      </c>
      <c r="E24" s="640" t="s">
        <v>80</v>
      </c>
      <c r="F24" s="636" t="s">
        <v>86</v>
      </c>
      <c r="G24" s="638" t="s">
        <v>65</v>
      </c>
      <c r="H24" s="640" t="s">
        <v>81</v>
      </c>
      <c r="I24" s="187"/>
      <c r="J24" s="187"/>
    </row>
    <row r="25" spans="1:10" ht="30" customHeight="1">
      <c r="A25" s="629"/>
      <c r="B25" s="647"/>
      <c r="C25" s="637"/>
      <c r="D25" s="639"/>
      <c r="E25" s="641"/>
      <c r="F25" s="637"/>
      <c r="G25" s="639"/>
      <c r="H25" s="641"/>
    </row>
    <row r="26" spans="1:10" ht="17.25">
      <c r="A26" s="165" t="s">
        <v>66</v>
      </c>
      <c r="B26" s="188" t="s">
        <v>8</v>
      </c>
      <c r="C26" s="167" t="s">
        <v>83</v>
      </c>
      <c r="D26" s="189" t="s">
        <v>83</v>
      </c>
      <c r="E26" s="169" t="s">
        <v>83</v>
      </c>
      <c r="F26" s="165" t="s">
        <v>8</v>
      </c>
      <c r="G26" s="170" t="s">
        <v>8</v>
      </c>
      <c r="H26" s="166" t="s">
        <v>8</v>
      </c>
    </row>
    <row r="27" spans="1:10">
      <c r="A27" s="158">
        <v>6</v>
      </c>
      <c r="B27" s="158">
        <f>(180/12)*ABS(12-A27)</f>
        <v>90</v>
      </c>
      <c r="C27" s="190"/>
      <c r="E27" s="172"/>
      <c r="F27" s="178">
        <f>B27</f>
        <v>90</v>
      </c>
      <c r="G27" s="158">
        <f>B27</f>
        <v>90</v>
      </c>
      <c r="H27" s="172">
        <v>0</v>
      </c>
    </row>
    <row r="28" spans="1:10">
      <c r="A28" s="158">
        <v>7</v>
      </c>
      <c r="B28" s="158">
        <f t="shared" ref="B28:B39" si="4">(180/12)*ABS(12-A28)</f>
        <v>75</v>
      </c>
      <c r="C28" s="179">
        <f>'Irradiance (IP)'!E28*$K$4/$K$5</f>
        <v>69.401009655231803</v>
      </c>
      <c r="D28" s="180">
        <f>'Irradiance (IP)'!F28*$K$4/$K$5</f>
        <v>50.473461567441312</v>
      </c>
      <c r="E28" s="181">
        <f>'Irradiance (IP)'!G28*$K$4/$K$5</f>
        <v>119.87447122267312</v>
      </c>
      <c r="F28" s="178">
        <f t="shared" ref="F28:F39" si="5">B28</f>
        <v>75</v>
      </c>
      <c r="G28" s="158">
        <f t="shared" ref="G28:G39" si="6">B28</f>
        <v>75</v>
      </c>
      <c r="H28" s="172">
        <v>0</v>
      </c>
    </row>
    <row r="29" spans="1:10">
      <c r="A29" s="158">
        <v>8</v>
      </c>
      <c r="B29" s="158">
        <f t="shared" si="4"/>
        <v>60</v>
      </c>
      <c r="C29" s="179">
        <f>'Irradiance (IP)'!E29*$K$4/$K$5</f>
        <v>170.34793279011444</v>
      </c>
      <c r="D29" s="180">
        <f>'Irradiance (IP)'!F29*$K$4/$K$5</f>
        <v>97.792331786917558</v>
      </c>
      <c r="E29" s="181">
        <f>'Irradiance (IP)'!G29*$K$4/$K$5</f>
        <v>268.14026457703199</v>
      </c>
      <c r="F29" s="178">
        <f t="shared" si="5"/>
        <v>60</v>
      </c>
      <c r="G29" s="158">
        <f t="shared" si="6"/>
        <v>60</v>
      </c>
      <c r="H29" s="172">
        <v>0</v>
      </c>
    </row>
    <row r="30" spans="1:10">
      <c r="A30" s="158">
        <v>9</v>
      </c>
      <c r="B30" s="158">
        <f t="shared" si="4"/>
        <v>45</v>
      </c>
      <c r="C30" s="179">
        <f>'Irradiance (IP)'!E30*$K$4/$K$5</f>
        <v>283.9132213168574</v>
      </c>
      <c r="D30" s="180">
        <f>'Irradiance (IP)'!F30*$K$4/$K$5</f>
        <v>138.80201931046361</v>
      </c>
      <c r="E30" s="181">
        <f>'Irradiance (IP)'!G30*$K$4/$K$5</f>
        <v>422.71524062732101</v>
      </c>
      <c r="F30" s="178">
        <f t="shared" si="5"/>
        <v>45</v>
      </c>
      <c r="G30" s="158">
        <f t="shared" si="6"/>
        <v>45</v>
      </c>
      <c r="H30" s="172">
        <v>0</v>
      </c>
    </row>
    <row r="31" spans="1:10">
      <c r="A31" s="158">
        <v>10</v>
      </c>
      <c r="B31" s="158">
        <f t="shared" si="4"/>
        <v>30</v>
      </c>
      <c r="C31" s="179">
        <f>'Irradiance (IP)'!E31*$K$4/$K$5</f>
        <v>388.01473579970508</v>
      </c>
      <c r="D31" s="180">
        <f>'Irradiance (IP)'!F31*$K$4/$K$5</f>
        <v>170.34793279011444</v>
      </c>
      <c r="E31" s="181">
        <f>'Irradiance (IP)'!G31*$K$4/$K$5</f>
        <v>558.36266858981946</v>
      </c>
      <c r="F31" s="178">
        <f t="shared" si="5"/>
        <v>30</v>
      </c>
      <c r="G31" s="158">
        <f t="shared" si="6"/>
        <v>30</v>
      </c>
      <c r="H31" s="172">
        <v>0</v>
      </c>
    </row>
    <row r="32" spans="1:10">
      <c r="A32" s="158">
        <v>11</v>
      </c>
      <c r="B32" s="158">
        <f t="shared" si="4"/>
        <v>15</v>
      </c>
      <c r="C32" s="179">
        <f>'Irradiance (IP)'!E32*$K$4/$K$5</f>
        <v>460.57033680290198</v>
      </c>
      <c r="D32" s="180">
        <f>'Irradiance (IP)'!F32*$K$4/$K$5</f>
        <v>192.43007222587002</v>
      </c>
      <c r="E32" s="181">
        <f>'Irradiance (IP)'!G32*$K$4/$K$5</f>
        <v>653.00040902877208</v>
      </c>
      <c r="F32" s="178">
        <f t="shared" si="5"/>
        <v>15</v>
      </c>
      <c r="G32" s="158">
        <f t="shared" si="6"/>
        <v>15</v>
      </c>
      <c r="H32" s="172">
        <v>0</v>
      </c>
    </row>
    <row r="33" spans="1:10">
      <c r="A33" s="158">
        <v>12</v>
      </c>
      <c r="B33" s="158">
        <f t="shared" si="4"/>
        <v>0</v>
      </c>
      <c r="C33" s="179">
        <f>'Irradiance (IP)'!E33*$K$4/$K$5</f>
        <v>488.96165893458772</v>
      </c>
      <c r="D33" s="180">
        <f>'Irradiance (IP)'!F33*$K$4/$K$5</f>
        <v>198.73925492180015</v>
      </c>
      <c r="E33" s="181">
        <f>'Irradiance (IP)'!G33*$K$4/$K$5</f>
        <v>687.70091385638784</v>
      </c>
      <c r="F33" s="178">
        <f t="shared" si="5"/>
        <v>0</v>
      </c>
      <c r="G33" s="158">
        <f t="shared" si="6"/>
        <v>0</v>
      </c>
      <c r="H33" s="172">
        <v>0</v>
      </c>
    </row>
    <row r="34" spans="1:10">
      <c r="A34" s="158">
        <v>13</v>
      </c>
      <c r="B34" s="158">
        <f t="shared" si="4"/>
        <v>15</v>
      </c>
      <c r="C34" s="179">
        <f>'Irradiance (IP)'!E34*$K$4/$K$5</f>
        <v>460.57033680290198</v>
      </c>
      <c r="D34" s="180">
        <f>'Irradiance (IP)'!F34*$K$4/$K$5</f>
        <v>192.43007222587002</v>
      </c>
      <c r="E34" s="181">
        <f>'Irradiance (IP)'!G34*$K$4/$K$5</f>
        <v>653.00040902877208</v>
      </c>
      <c r="F34" s="178">
        <f t="shared" si="5"/>
        <v>15</v>
      </c>
      <c r="G34" s="158">
        <f t="shared" si="6"/>
        <v>15</v>
      </c>
      <c r="H34" s="172">
        <v>0</v>
      </c>
    </row>
    <row r="35" spans="1:10">
      <c r="A35" s="158">
        <v>14</v>
      </c>
      <c r="B35" s="158">
        <f t="shared" si="4"/>
        <v>30</v>
      </c>
      <c r="C35" s="179">
        <f>'Irradiance (IP)'!E35*$K$4/$K$5</f>
        <v>388.01473579970508</v>
      </c>
      <c r="D35" s="180">
        <f>'Irradiance (IP)'!F35*$K$4/$K$5</f>
        <v>170.34793279011444</v>
      </c>
      <c r="E35" s="181">
        <f>'Irradiance (IP)'!G35*$K$4/$K$5</f>
        <v>558.36266858981946</v>
      </c>
      <c r="F35" s="178">
        <f t="shared" si="5"/>
        <v>30</v>
      </c>
      <c r="G35" s="158">
        <f t="shared" si="6"/>
        <v>30</v>
      </c>
      <c r="H35" s="172">
        <v>0</v>
      </c>
    </row>
    <row r="36" spans="1:10">
      <c r="A36" s="158">
        <v>15</v>
      </c>
      <c r="B36" s="158">
        <f t="shared" si="4"/>
        <v>45</v>
      </c>
      <c r="C36" s="179">
        <f>'Irradiance (IP)'!E36*$K$4/$K$5</f>
        <v>283.9132213168574</v>
      </c>
      <c r="D36" s="180">
        <f>'Irradiance (IP)'!F36*$K$4/$K$5</f>
        <v>138.80201931046361</v>
      </c>
      <c r="E36" s="181">
        <f>'Irradiance (IP)'!G36*$K$4/$K$5</f>
        <v>422.71524062732101</v>
      </c>
      <c r="F36" s="178">
        <f t="shared" si="5"/>
        <v>45</v>
      </c>
      <c r="G36" s="158">
        <f t="shared" si="6"/>
        <v>45</v>
      </c>
      <c r="H36" s="172">
        <v>0</v>
      </c>
    </row>
    <row r="37" spans="1:10">
      <c r="A37" s="158">
        <v>16</v>
      </c>
      <c r="B37" s="158">
        <f t="shared" si="4"/>
        <v>60</v>
      </c>
      <c r="C37" s="179">
        <f>'Irradiance (IP)'!E37*$K$4/$K$5</f>
        <v>170.34793279011444</v>
      </c>
      <c r="D37" s="180">
        <f>'Irradiance (IP)'!F37*$K$4/$K$5</f>
        <v>97.792331786917558</v>
      </c>
      <c r="E37" s="181">
        <f>'Irradiance (IP)'!G37*$K$4/$K$5</f>
        <v>268.14026457703199</v>
      </c>
      <c r="F37" s="178">
        <f t="shared" si="5"/>
        <v>60</v>
      </c>
      <c r="G37" s="158">
        <f t="shared" si="6"/>
        <v>60</v>
      </c>
      <c r="H37" s="172">
        <v>0</v>
      </c>
    </row>
    <row r="38" spans="1:10">
      <c r="A38" s="158">
        <v>17</v>
      </c>
      <c r="B38" s="158">
        <f t="shared" si="4"/>
        <v>75</v>
      </c>
      <c r="C38" s="179">
        <f>'Irradiance (IP)'!E38*$K$4/$K$5</f>
        <v>69.401009655231803</v>
      </c>
      <c r="D38" s="180">
        <f>'Irradiance (IP)'!F38*$K$4/$K$5</f>
        <v>50.473461567441312</v>
      </c>
      <c r="E38" s="181">
        <f>'Irradiance (IP)'!G38*$K$4/$K$5</f>
        <v>119.87447122267312</v>
      </c>
      <c r="F38" s="178">
        <f t="shared" si="5"/>
        <v>75</v>
      </c>
      <c r="G38" s="158">
        <f t="shared" si="6"/>
        <v>75</v>
      </c>
      <c r="H38" s="172">
        <v>0</v>
      </c>
    </row>
    <row r="39" spans="1:10">
      <c r="A39" s="158">
        <v>18</v>
      </c>
      <c r="B39" s="158">
        <f t="shared" si="4"/>
        <v>90</v>
      </c>
      <c r="C39" s="178"/>
      <c r="E39" s="172"/>
      <c r="F39" s="191">
        <f t="shared" si="5"/>
        <v>90</v>
      </c>
      <c r="G39" s="192">
        <f t="shared" si="6"/>
        <v>90</v>
      </c>
      <c r="H39" s="193">
        <v>0</v>
      </c>
    </row>
    <row r="40" spans="1:10" ht="17.25">
      <c r="A40" s="642" t="s">
        <v>84</v>
      </c>
      <c r="B40" s="648"/>
      <c r="C40" s="182">
        <f>SUM(C28:C39)/1000</f>
        <v>3.2334561316642092</v>
      </c>
      <c r="D40" s="183">
        <f t="shared" ref="D40:E40" si="7">SUM(D28:D39)/1000</f>
        <v>1.4984308902834138</v>
      </c>
      <c r="E40" s="194">
        <f t="shared" si="7"/>
        <v>4.7318870219476237</v>
      </c>
      <c r="F40" s="186"/>
      <c r="G40" s="186"/>
      <c r="H40" s="186"/>
    </row>
    <row r="42" spans="1:10" ht="18.75">
      <c r="A42" s="625" t="s">
        <v>0</v>
      </c>
      <c r="B42" s="626"/>
      <c r="C42" s="626"/>
      <c r="D42" s="626"/>
      <c r="E42" s="626"/>
      <c r="F42" s="626"/>
      <c r="G42" s="626"/>
      <c r="H42" s="644"/>
      <c r="I42" s="187"/>
      <c r="J42" s="187"/>
    </row>
    <row r="43" spans="1:10" ht="15" customHeight="1">
      <c r="A43" s="627" t="s">
        <v>1</v>
      </c>
      <c r="B43" s="645" t="s">
        <v>64</v>
      </c>
      <c r="C43" s="633" t="s">
        <v>5</v>
      </c>
      <c r="D43" s="634"/>
      <c r="E43" s="635"/>
      <c r="F43" s="634" t="s">
        <v>17</v>
      </c>
      <c r="G43" s="634"/>
      <c r="H43" s="635"/>
      <c r="I43" s="187"/>
      <c r="J43" s="187"/>
    </row>
    <row r="44" spans="1:10" ht="30" customHeight="1">
      <c r="A44" s="628"/>
      <c r="B44" s="646"/>
      <c r="C44" s="636" t="s">
        <v>78</v>
      </c>
      <c r="D44" s="638" t="s">
        <v>79</v>
      </c>
      <c r="E44" s="640" t="s">
        <v>80</v>
      </c>
      <c r="F44" s="636" t="s">
        <v>86</v>
      </c>
      <c r="G44" s="638" t="s">
        <v>65</v>
      </c>
      <c r="H44" s="640" t="s">
        <v>81</v>
      </c>
      <c r="I44" s="187"/>
      <c r="J44" s="187"/>
    </row>
    <row r="45" spans="1:10" ht="30" customHeight="1">
      <c r="A45" s="629"/>
      <c r="B45" s="647"/>
      <c r="C45" s="637"/>
      <c r="D45" s="639"/>
      <c r="E45" s="641"/>
      <c r="F45" s="637"/>
      <c r="G45" s="639"/>
      <c r="H45" s="641"/>
    </row>
    <row r="46" spans="1:10" ht="17.25">
      <c r="A46" s="165" t="s">
        <v>66</v>
      </c>
      <c r="B46" s="188" t="s">
        <v>8</v>
      </c>
      <c r="C46" s="167" t="s">
        <v>83</v>
      </c>
      <c r="D46" s="168" t="s">
        <v>83</v>
      </c>
      <c r="E46" s="169" t="s">
        <v>83</v>
      </c>
      <c r="F46" s="195" t="s">
        <v>8</v>
      </c>
      <c r="G46" s="170" t="s">
        <v>8</v>
      </c>
      <c r="H46" s="166" t="s">
        <v>8</v>
      </c>
    </row>
    <row r="47" spans="1:10">
      <c r="A47" s="158">
        <v>6</v>
      </c>
      <c r="B47" s="158">
        <f>(180/12)*ABS(12-A47)</f>
        <v>90</v>
      </c>
      <c r="C47" s="190"/>
      <c r="E47" s="172"/>
      <c r="F47" s="158">
        <f>B47</f>
        <v>90</v>
      </c>
      <c r="G47" s="158">
        <f>B47</f>
        <v>90</v>
      </c>
      <c r="H47" s="172">
        <v>0</v>
      </c>
    </row>
    <row r="48" spans="1:10">
      <c r="A48" s="158">
        <v>7</v>
      </c>
      <c r="B48" s="158">
        <f t="shared" ref="B48:B59" si="8">(180/12)*ABS(12-A48)</f>
        <v>75</v>
      </c>
      <c r="C48" s="179">
        <f>'Irradiance (IP)'!E48*$K$4/$K$5</f>
        <v>28.391322131685737</v>
      </c>
      <c r="D48" s="180">
        <f>'Irradiance (IP)'!F48*$K$4/$K$5</f>
        <v>50.473461567441312</v>
      </c>
      <c r="E48" s="181">
        <f>'Irradiance (IP)'!G48*$K$4/$K$5</f>
        <v>78.864783699127045</v>
      </c>
      <c r="F48" s="158">
        <f t="shared" ref="F48:F59" si="9">B48</f>
        <v>75</v>
      </c>
      <c r="G48" s="158">
        <f t="shared" ref="G48:G59" si="10">B48</f>
        <v>75</v>
      </c>
      <c r="H48" s="172">
        <v>0</v>
      </c>
    </row>
    <row r="49" spans="1:10">
      <c r="A49" s="158">
        <v>8</v>
      </c>
      <c r="B49" s="158">
        <f t="shared" si="8"/>
        <v>60</v>
      </c>
      <c r="C49" s="179">
        <f>'Irradiance (IP)'!E49*$K$4/$K$5</f>
        <v>78.864783699127045</v>
      </c>
      <c r="D49" s="180">
        <f>'Irradiance (IP)'!F49*$K$4/$K$5</f>
        <v>97.792331786917558</v>
      </c>
      <c r="E49" s="181">
        <f>'Irradiance (IP)'!G49*$K$4/$K$5</f>
        <v>176.6571154860446</v>
      </c>
      <c r="F49" s="158">
        <f t="shared" si="9"/>
        <v>60</v>
      </c>
      <c r="G49" s="158">
        <f t="shared" si="10"/>
        <v>60</v>
      </c>
      <c r="H49" s="172">
        <v>0</v>
      </c>
    </row>
    <row r="50" spans="1:10">
      <c r="A50" s="158">
        <v>9</v>
      </c>
      <c r="B50" s="158">
        <f t="shared" si="8"/>
        <v>45</v>
      </c>
      <c r="C50" s="179">
        <f>'Irradiance (IP)'!E50*$K$4/$K$5</f>
        <v>141.9566106584287</v>
      </c>
      <c r="D50" s="180">
        <f>'Irradiance (IP)'!F50*$K$4/$K$5</f>
        <v>138.80201931046361</v>
      </c>
      <c r="E50" s="181">
        <f>'Irradiance (IP)'!G50*$K$4/$K$5</f>
        <v>280.75862996889231</v>
      </c>
      <c r="F50" s="158">
        <f t="shared" si="9"/>
        <v>45</v>
      </c>
      <c r="G50" s="158">
        <f t="shared" si="10"/>
        <v>45</v>
      </c>
      <c r="H50" s="172">
        <v>0</v>
      </c>
    </row>
    <row r="51" spans="1:10">
      <c r="A51" s="158">
        <v>10</v>
      </c>
      <c r="B51" s="158">
        <f t="shared" si="8"/>
        <v>30</v>
      </c>
      <c r="C51" s="179">
        <f>'Irradiance (IP)'!E51*$K$4/$K$5</f>
        <v>201.89384626976525</v>
      </c>
      <c r="D51" s="180">
        <f>'Irradiance (IP)'!F51*$K$4/$K$5</f>
        <v>170.34793279011444</v>
      </c>
      <c r="E51" s="181">
        <f>'Irradiance (IP)'!G51*$K$4/$K$5</f>
        <v>372.24177905987972</v>
      </c>
      <c r="F51" s="158">
        <f t="shared" si="9"/>
        <v>30</v>
      </c>
      <c r="G51" s="158">
        <f t="shared" si="10"/>
        <v>30</v>
      </c>
      <c r="H51" s="172">
        <v>0</v>
      </c>
    </row>
    <row r="52" spans="1:10">
      <c r="A52" s="158">
        <v>11</v>
      </c>
      <c r="B52" s="158">
        <f t="shared" si="8"/>
        <v>15</v>
      </c>
      <c r="C52" s="179">
        <f>'Irradiance (IP)'!E52*$K$4/$K$5</f>
        <v>249.2127164892415</v>
      </c>
      <c r="D52" s="180">
        <f>'Irradiance (IP)'!F52*$K$4/$K$5</f>
        <v>189.27548087790493</v>
      </c>
      <c r="E52" s="181">
        <f>'Irradiance (IP)'!G52*$K$4/$K$5</f>
        <v>438.48819736714643</v>
      </c>
      <c r="F52" s="158">
        <f t="shared" si="9"/>
        <v>15</v>
      </c>
      <c r="G52" s="158">
        <f t="shared" si="10"/>
        <v>15</v>
      </c>
      <c r="H52" s="172">
        <v>0</v>
      </c>
    </row>
    <row r="53" spans="1:10">
      <c r="A53" s="158">
        <v>12</v>
      </c>
      <c r="B53" s="158">
        <f t="shared" si="8"/>
        <v>0</v>
      </c>
      <c r="C53" s="179">
        <f>'Irradiance (IP)'!E53*$K$4/$K$5</f>
        <v>264.98567322906689</v>
      </c>
      <c r="D53" s="180">
        <f>'Irradiance (IP)'!F53*$K$4/$K$5</f>
        <v>195.58466357383512</v>
      </c>
      <c r="E53" s="181">
        <f>'Irradiance (IP)'!G53*$K$4/$K$5</f>
        <v>460.57033680290198</v>
      </c>
      <c r="F53" s="158">
        <f t="shared" si="9"/>
        <v>0</v>
      </c>
      <c r="G53" s="158">
        <f t="shared" si="10"/>
        <v>0</v>
      </c>
      <c r="H53" s="172">
        <v>0</v>
      </c>
    </row>
    <row r="54" spans="1:10">
      <c r="A54" s="158">
        <v>13</v>
      </c>
      <c r="B54" s="158">
        <f t="shared" si="8"/>
        <v>15</v>
      </c>
      <c r="C54" s="179">
        <f>'Irradiance (IP)'!E54*$K$4/$K$5</f>
        <v>249.2127164892415</v>
      </c>
      <c r="D54" s="180">
        <f>'Irradiance (IP)'!F54*$K$4/$K$5</f>
        <v>189.27548087790493</v>
      </c>
      <c r="E54" s="181">
        <f>'Irradiance (IP)'!G54*$K$4/$K$5</f>
        <v>438.48819736714643</v>
      </c>
      <c r="F54" s="158">
        <f t="shared" si="9"/>
        <v>15</v>
      </c>
      <c r="G54" s="158">
        <f t="shared" si="10"/>
        <v>15</v>
      </c>
      <c r="H54" s="172">
        <v>0</v>
      </c>
    </row>
    <row r="55" spans="1:10">
      <c r="A55" s="158">
        <v>14</v>
      </c>
      <c r="B55" s="158">
        <f t="shared" si="8"/>
        <v>30</v>
      </c>
      <c r="C55" s="179">
        <f>'Irradiance (IP)'!E55*$K$4/$K$5</f>
        <v>201.89384626976525</v>
      </c>
      <c r="D55" s="180">
        <f>'Irradiance (IP)'!F55*$K$4/$K$5</f>
        <v>170.34793279011444</v>
      </c>
      <c r="E55" s="181">
        <f>'Irradiance (IP)'!G55*$K$4/$K$5</f>
        <v>372.24177905987972</v>
      </c>
      <c r="F55" s="158">
        <f t="shared" si="9"/>
        <v>30</v>
      </c>
      <c r="G55" s="158">
        <f t="shared" si="10"/>
        <v>30</v>
      </c>
      <c r="H55" s="172">
        <v>0</v>
      </c>
    </row>
    <row r="56" spans="1:10">
      <c r="A56" s="158">
        <v>15</v>
      </c>
      <c r="B56" s="158">
        <f t="shared" si="8"/>
        <v>45</v>
      </c>
      <c r="C56" s="179">
        <f>'Irradiance (IP)'!E56*$K$4/$K$5</f>
        <v>141.9566106584287</v>
      </c>
      <c r="D56" s="180">
        <f>'Irradiance (IP)'!F56*$K$4/$K$5</f>
        <v>138.80201931046361</v>
      </c>
      <c r="E56" s="181">
        <f>'Irradiance (IP)'!G56*$K$4/$K$5</f>
        <v>280.75862996889231</v>
      </c>
      <c r="F56" s="158">
        <f t="shared" si="9"/>
        <v>45</v>
      </c>
      <c r="G56" s="158">
        <f t="shared" si="10"/>
        <v>45</v>
      </c>
      <c r="H56" s="172">
        <v>0</v>
      </c>
    </row>
    <row r="57" spans="1:10">
      <c r="A57" s="158">
        <v>16</v>
      </c>
      <c r="B57" s="158">
        <f t="shared" si="8"/>
        <v>60</v>
      </c>
      <c r="C57" s="179">
        <f>'Irradiance (IP)'!E57*$K$4/$K$5</f>
        <v>78.864783699127045</v>
      </c>
      <c r="D57" s="180">
        <f>'Irradiance (IP)'!F57*$K$4/$K$5</f>
        <v>97.792331786917558</v>
      </c>
      <c r="E57" s="181">
        <f>'Irradiance (IP)'!G57*$K$4/$K$5</f>
        <v>176.6571154860446</v>
      </c>
      <c r="F57" s="158">
        <f t="shared" si="9"/>
        <v>60</v>
      </c>
      <c r="G57" s="158">
        <f t="shared" si="10"/>
        <v>60</v>
      </c>
      <c r="H57" s="172">
        <v>0</v>
      </c>
    </row>
    <row r="58" spans="1:10">
      <c r="A58" s="158">
        <v>17</v>
      </c>
      <c r="B58" s="158">
        <f t="shared" si="8"/>
        <v>75</v>
      </c>
      <c r="C58" s="179">
        <f>'Irradiance (IP)'!E58*$K$4/$K$5</f>
        <v>28.391322131685737</v>
      </c>
      <c r="D58" s="180">
        <f>'Irradiance (IP)'!F58*$K$4/$K$5</f>
        <v>50.473461567441312</v>
      </c>
      <c r="E58" s="181">
        <f>'Irradiance (IP)'!G58*$K$4/$K$5</f>
        <v>78.864783699127045</v>
      </c>
      <c r="F58" s="158">
        <f t="shared" si="9"/>
        <v>75</v>
      </c>
      <c r="G58" s="158">
        <f t="shared" si="10"/>
        <v>75</v>
      </c>
      <c r="H58" s="172">
        <v>0</v>
      </c>
    </row>
    <row r="59" spans="1:10">
      <c r="A59" s="158">
        <v>18</v>
      </c>
      <c r="B59" s="158">
        <f t="shared" si="8"/>
        <v>90</v>
      </c>
      <c r="C59" s="178"/>
      <c r="E59" s="172"/>
      <c r="F59" s="192">
        <f t="shared" si="9"/>
        <v>90</v>
      </c>
      <c r="G59" s="192">
        <f t="shared" si="10"/>
        <v>90</v>
      </c>
      <c r="H59" s="193">
        <v>0</v>
      </c>
    </row>
    <row r="60" spans="1:10" ht="17.25">
      <c r="A60" s="642" t="s">
        <v>84</v>
      </c>
      <c r="B60" s="648"/>
      <c r="C60" s="182">
        <f>SUM(C48:C59)/1000</f>
        <v>1.665624231725563</v>
      </c>
      <c r="D60" s="183">
        <f t="shared" ref="D60:E60" si="11">SUM(D48:D59)/1000</f>
        <v>1.4889671162395186</v>
      </c>
      <c r="E60" s="194">
        <f t="shared" si="11"/>
        <v>3.154591347965082</v>
      </c>
      <c r="F60" s="186"/>
      <c r="G60" s="186"/>
      <c r="H60" s="186"/>
    </row>
    <row r="62" spans="1:10" ht="18.75">
      <c r="A62" s="625" t="s">
        <v>67</v>
      </c>
      <c r="B62" s="626"/>
      <c r="C62" s="626"/>
      <c r="D62" s="626"/>
      <c r="E62" s="626"/>
      <c r="F62" s="626"/>
      <c r="G62" s="626"/>
      <c r="H62" s="626"/>
      <c r="I62" s="626"/>
      <c r="J62" s="644"/>
    </row>
    <row r="63" spans="1:10">
      <c r="A63" s="196"/>
      <c r="B63" s="650" t="s">
        <v>68</v>
      </c>
      <c r="C63" s="651"/>
      <c r="D63" s="652"/>
      <c r="E63" s="650" t="s">
        <v>69</v>
      </c>
      <c r="F63" s="651"/>
      <c r="G63" s="652"/>
      <c r="H63" s="650" t="s">
        <v>70</v>
      </c>
      <c r="I63" s="651"/>
      <c r="J63" s="652"/>
    </row>
    <row r="64" spans="1:10" ht="30" customHeight="1">
      <c r="A64" s="197" t="s">
        <v>1</v>
      </c>
      <c r="B64" s="653" t="s">
        <v>78</v>
      </c>
      <c r="C64" s="655" t="s">
        <v>79</v>
      </c>
      <c r="D64" s="656" t="s">
        <v>80</v>
      </c>
      <c r="E64" s="658" t="s">
        <v>78</v>
      </c>
      <c r="F64" s="655" t="s">
        <v>79</v>
      </c>
      <c r="G64" s="649" t="s">
        <v>80</v>
      </c>
      <c r="H64" s="660" t="s">
        <v>78</v>
      </c>
      <c r="I64" s="655" t="s">
        <v>79</v>
      </c>
      <c r="J64" s="649" t="s">
        <v>80</v>
      </c>
    </row>
    <row r="65" spans="1:10" ht="30" customHeight="1">
      <c r="A65" s="198"/>
      <c r="B65" s="654"/>
      <c r="C65" s="639"/>
      <c r="D65" s="657"/>
      <c r="E65" s="659"/>
      <c r="F65" s="639"/>
      <c r="G65" s="641"/>
      <c r="H65" s="637"/>
      <c r="I65" s="639"/>
      <c r="J65" s="641"/>
    </row>
    <row r="66" spans="1:10" ht="17.25">
      <c r="A66" s="199" t="s">
        <v>66</v>
      </c>
      <c r="B66" s="167" t="s">
        <v>83</v>
      </c>
      <c r="C66" s="200" t="s">
        <v>83</v>
      </c>
      <c r="D66" s="169" t="s">
        <v>83</v>
      </c>
      <c r="E66" s="189" t="s">
        <v>83</v>
      </c>
      <c r="F66" s="200" t="s">
        <v>83</v>
      </c>
      <c r="G66" s="169" t="s">
        <v>83</v>
      </c>
      <c r="H66" s="167" t="s">
        <v>83</v>
      </c>
      <c r="I66" s="200" t="s">
        <v>83</v>
      </c>
      <c r="J66" s="169" t="s">
        <v>83</v>
      </c>
    </row>
    <row r="67" spans="1:10">
      <c r="A67" s="178">
        <v>7</v>
      </c>
      <c r="B67" s="179">
        <f>C8</f>
        <v>116.71987987470804</v>
      </c>
      <c r="C67" s="180">
        <f t="shared" ref="C67:D67" si="12">D8</f>
        <v>47.318870219476231</v>
      </c>
      <c r="D67" s="181">
        <f t="shared" si="12"/>
        <v>164.03875009418428</v>
      </c>
      <c r="E67" s="180">
        <f>C28</f>
        <v>69.401009655231803</v>
      </c>
      <c r="F67" s="180">
        <f t="shared" ref="F67:G77" si="13">D28</f>
        <v>50.473461567441312</v>
      </c>
      <c r="G67" s="181">
        <f t="shared" si="13"/>
        <v>119.87447122267312</v>
      </c>
      <c r="H67" s="179">
        <f>C48</f>
        <v>28.391322131685737</v>
      </c>
      <c r="I67" s="180">
        <f t="shared" ref="I67:J77" si="14">D48</f>
        <v>50.473461567441312</v>
      </c>
      <c r="J67" s="181">
        <f t="shared" si="14"/>
        <v>78.864783699127045</v>
      </c>
    </row>
    <row r="68" spans="1:10">
      <c r="A68" s="178">
        <v>8</v>
      </c>
      <c r="B68" s="179">
        <f t="shared" ref="B68:D77" si="15">C9</f>
        <v>268.14026457703199</v>
      </c>
      <c r="C68" s="180">
        <f t="shared" si="15"/>
        <v>91.483149090987382</v>
      </c>
      <c r="D68" s="181">
        <f t="shared" si="15"/>
        <v>359.62341366801934</v>
      </c>
      <c r="E68" s="180">
        <f t="shared" ref="E68:E77" si="16">C29</f>
        <v>170.34793279011444</v>
      </c>
      <c r="F68" s="180">
        <f t="shared" si="13"/>
        <v>97.792331786917558</v>
      </c>
      <c r="G68" s="181">
        <f t="shared" si="13"/>
        <v>268.14026457703199</v>
      </c>
      <c r="H68" s="179">
        <f t="shared" ref="H68:H77" si="17">C49</f>
        <v>78.864783699127045</v>
      </c>
      <c r="I68" s="180">
        <f t="shared" si="14"/>
        <v>97.792331786917558</v>
      </c>
      <c r="J68" s="181">
        <f t="shared" si="14"/>
        <v>176.6571154860446</v>
      </c>
    </row>
    <row r="69" spans="1:10">
      <c r="A69" s="178">
        <v>9</v>
      </c>
      <c r="B69" s="179">
        <f t="shared" si="15"/>
        <v>435.33360601918133</v>
      </c>
      <c r="C69" s="180">
        <f t="shared" si="15"/>
        <v>126.1836539186033</v>
      </c>
      <c r="D69" s="181">
        <f t="shared" si="15"/>
        <v>561.51725993778462</v>
      </c>
      <c r="E69" s="180">
        <f t="shared" si="16"/>
        <v>283.9132213168574</v>
      </c>
      <c r="F69" s="180">
        <f t="shared" si="13"/>
        <v>138.80201931046361</v>
      </c>
      <c r="G69" s="181">
        <f t="shared" si="13"/>
        <v>422.71524062732101</v>
      </c>
      <c r="H69" s="179">
        <f t="shared" si="17"/>
        <v>141.9566106584287</v>
      </c>
      <c r="I69" s="180">
        <f t="shared" si="14"/>
        <v>138.80201931046361</v>
      </c>
      <c r="J69" s="181">
        <f t="shared" si="14"/>
        <v>280.75862996889231</v>
      </c>
    </row>
    <row r="70" spans="1:10">
      <c r="A70" s="178">
        <v>10</v>
      </c>
      <c r="B70" s="179">
        <f t="shared" si="15"/>
        <v>589.90858206947041</v>
      </c>
      <c r="C70" s="180">
        <f t="shared" si="15"/>
        <v>157.72956739825409</v>
      </c>
      <c r="D70" s="181">
        <f t="shared" si="15"/>
        <v>747.63814946772447</v>
      </c>
      <c r="E70" s="180">
        <f t="shared" si="16"/>
        <v>388.01473579970508</v>
      </c>
      <c r="F70" s="180">
        <f t="shared" si="13"/>
        <v>170.34793279011444</v>
      </c>
      <c r="G70" s="181">
        <f t="shared" si="13"/>
        <v>558.36266858981946</v>
      </c>
      <c r="H70" s="179">
        <f t="shared" si="17"/>
        <v>201.89384626976525</v>
      </c>
      <c r="I70" s="180">
        <f t="shared" si="14"/>
        <v>170.34793279011444</v>
      </c>
      <c r="J70" s="181">
        <f t="shared" si="14"/>
        <v>372.24177905987972</v>
      </c>
    </row>
    <row r="71" spans="1:10">
      <c r="A71" s="178">
        <v>11</v>
      </c>
      <c r="B71" s="179">
        <f t="shared" si="15"/>
        <v>694.01009655231803</v>
      </c>
      <c r="C71" s="180">
        <f t="shared" si="15"/>
        <v>173.50252413807951</v>
      </c>
      <c r="D71" s="181">
        <f t="shared" si="15"/>
        <v>867.51262069039751</v>
      </c>
      <c r="E71" s="180">
        <f t="shared" si="16"/>
        <v>460.57033680290198</v>
      </c>
      <c r="F71" s="180">
        <f t="shared" si="13"/>
        <v>192.43007222587002</v>
      </c>
      <c r="G71" s="181">
        <f t="shared" si="13"/>
        <v>653.00040902877208</v>
      </c>
      <c r="H71" s="179">
        <f t="shared" si="17"/>
        <v>249.2127164892415</v>
      </c>
      <c r="I71" s="180">
        <f t="shared" si="14"/>
        <v>189.27548087790493</v>
      </c>
      <c r="J71" s="181">
        <f t="shared" si="14"/>
        <v>438.48819736714643</v>
      </c>
    </row>
    <row r="72" spans="1:10">
      <c r="A72" s="178">
        <v>12</v>
      </c>
      <c r="B72" s="179">
        <f t="shared" si="15"/>
        <v>728.71060137993402</v>
      </c>
      <c r="C72" s="180">
        <f t="shared" si="15"/>
        <v>179.81170683400967</v>
      </c>
      <c r="D72" s="181">
        <f t="shared" si="15"/>
        <v>908.52230821394357</v>
      </c>
      <c r="E72" s="180">
        <f t="shared" si="16"/>
        <v>488.96165893458772</v>
      </c>
      <c r="F72" s="180">
        <f t="shared" si="13"/>
        <v>198.73925492180015</v>
      </c>
      <c r="G72" s="181">
        <f t="shared" si="13"/>
        <v>687.70091385638784</v>
      </c>
      <c r="H72" s="179">
        <f t="shared" si="17"/>
        <v>264.98567322906689</v>
      </c>
      <c r="I72" s="180">
        <f t="shared" si="14"/>
        <v>195.58466357383512</v>
      </c>
      <c r="J72" s="181">
        <f t="shared" si="14"/>
        <v>460.57033680290198</v>
      </c>
    </row>
    <row r="73" spans="1:10">
      <c r="A73" s="178">
        <v>13</v>
      </c>
      <c r="B73" s="179">
        <f t="shared" si="15"/>
        <v>694.01009655231803</v>
      </c>
      <c r="C73" s="180">
        <f t="shared" si="15"/>
        <v>173.50252413807951</v>
      </c>
      <c r="D73" s="181">
        <f t="shared" si="15"/>
        <v>867.51262069039751</v>
      </c>
      <c r="E73" s="180">
        <f t="shared" si="16"/>
        <v>460.57033680290198</v>
      </c>
      <c r="F73" s="180">
        <f t="shared" si="13"/>
        <v>192.43007222587002</v>
      </c>
      <c r="G73" s="181">
        <f t="shared" si="13"/>
        <v>653.00040902877208</v>
      </c>
      <c r="H73" s="179">
        <f t="shared" si="17"/>
        <v>249.2127164892415</v>
      </c>
      <c r="I73" s="180">
        <f t="shared" si="14"/>
        <v>189.27548087790493</v>
      </c>
      <c r="J73" s="181">
        <f t="shared" si="14"/>
        <v>438.48819736714643</v>
      </c>
    </row>
    <row r="74" spans="1:10">
      <c r="A74" s="178">
        <v>14</v>
      </c>
      <c r="B74" s="179">
        <f t="shared" si="15"/>
        <v>589.90858206947041</v>
      </c>
      <c r="C74" s="180">
        <f t="shared" si="15"/>
        <v>157.72956739825409</v>
      </c>
      <c r="D74" s="181">
        <f t="shared" si="15"/>
        <v>747.63814946772447</v>
      </c>
      <c r="E74" s="180">
        <f t="shared" si="16"/>
        <v>388.01473579970508</v>
      </c>
      <c r="F74" s="180">
        <f t="shared" si="13"/>
        <v>170.34793279011444</v>
      </c>
      <c r="G74" s="181">
        <f t="shared" si="13"/>
        <v>558.36266858981946</v>
      </c>
      <c r="H74" s="179">
        <f t="shared" si="17"/>
        <v>201.89384626976525</v>
      </c>
      <c r="I74" s="180">
        <f t="shared" si="14"/>
        <v>170.34793279011444</v>
      </c>
      <c r="J74" s="181">
        <f t="shared" si="14"/>
        <v>372.24177905987972</v>
      </c>
    </row>
    <row r="75" spans="1:10">
      <c r="A75" s="178">
        <v>15</v>
      </c>
      <c r="B75" s="179">
        <f t="shared" si="15"/>
        <v>435.33360601918133</v>
      </c>
      <c r="C75" s="180">
        <f t="shared" si="15"/>
        <v>126.1836539186033</v>
      </c>
      <c r="D75" s="181">
        <f t="shared" si="15"/>
        <v>561.51725993778462</v>
      </c>
      <c r="E75" s="180">
        <f t="shared" si="16"/>
        <v>283.9132213168574</v>
      </c>
      <c r="F75" s="180">
        <f t="shared" si="13"/>
        <v>138.80201931046361</v>
      </c>
      <c r="G75" s="181">
        <f t="shared" si="13"/>
        <v>422.71524062732101</v>
      </c>
      <c r="H75" s="179">
        <f t="shared" si="17"/>
        <v>141.9566106584287</v>
      </c>
      <c r="I75" s="180">
        <f t="shared" si="14"/>
        <v>138.80201931046361</v>
      </c>
      <c r="J75" s="181">
        <f t="shared" si="14"/>
        <v>280.75862996889231</v>
      </c>
    </row>
    <row r="76" spans="1:10">
      <c r="A76" s="178">
        <v>16</v>
      </c>
      <c r="B76" s="179">
        <f t="shared" si="15"/>
        <v>268.14026457703199</v>
      </c>
      <c r="C76" s="180">
        <f t="shared" si="15"/>
        <v>91.483149090987382</v>
      </c>
      <c r="D76" s="181">
        <f t="shared" si="15"/>
        <v>359.62341366801934</v>
      </c>
      <c r="E76" s="180">
        <f t="shared" si="16"/>
        <v>170.34793279011444</v>
      </c>
      <c r="F76" s="180">
        <f t="shared" si="13"/>
        <v>97.792331786917558</v>
      </c>
      <c r="G76" s="181">
        <f t="shared" si="13"/>
        <v>268.14026457703199</v>
      </c>
      <c r="H76" s="179">
        <f t="shared" si="17"/>
        <v>78.864783699127045</v>
      </c>
      <c r="I76" s="180">
        <f t="shared" si="14"/>
        <v>97.792331786917558</v>
      </c>
      <c r="J76" s="181">
        <f t="shared" si="14"/>
        <v>176.6571154860446</v>
      </c>
    </row>
    <row r="77" spans="1:10">
      <c r="A77" s="178">
        <v>17</v>
      </c>
      <c r="B77" s="179">
        <f t="shared" si="15"/>
        <v>116.71987987470804</v>
      </c>
      <c r="C77" s="180">
        <f t="shared" si="15"/>
        <v>47.318870219476231</v>
      </c>
      <c r="D77" s="181">
        <f t="shared" si="15"/>
        <v>164.03875009418428</v>
      </c>
      <c r="E77" s="180">
        <f t="shared" si="16"/>
        <v>69.401009655231803</v>
      </c>
      <c r="F77" s="180">
        <f t="shared" si="13"/>
        <v>50.473461567441312</v>
      </c>
      <c r="G77" s="181">
        <f t="shared" si="13"/>
        <v>119.87447122267312</v>
      </c>
      <c r="H77" s="179">
        <f t="shared" si="17"/>
        <v>28.391322131685737</v>
      </c>
      <c r="I77" s="180">
        <f t="shared" si="14"/>
        <v>50.473461567441312</v>
      </c>
      <c r="J77" s="181">
        <f t="shared" si="14"/>
        <v>78.864783699127045</v>
      </c>
    </row>
    <row r="78" spans="1:10" ht="17.25">
      <c r="A78" s="201" t="s">
        <v>85</v>
      </c>
      <c r="B78" s="182">
        <f t="shared" ref="B78:J78" si="18">SUM(B67:B77)/1000</f>
        <v>4.936935459565353</v>
      </c>
      <c r="C78" s="183">
        <f t="shared" si="18"/>
        <v>1.3722472363648106</v>
      </c>
      <c r="D78" s="184">
        <f t="shared" si="18"/>
        <v>6.309182695930164</v>
      </c>
      <c r="E78" s="182">
        <f t="shared" si="18"/>
        <v>3.2334561316642092</v>
      </c>
      <c r="F78" s="183">
        <f t="shared" si="18"/>
        <v>1.4984308902834138</v>
      </c>
      <c r="G78" s="184">
        <f t="shared" si="18"/>
        <v>4.7318870219476237</v>
      </c>
      <c r="H78" s="182">
        <f t="shared" si="18"/>
        <v>1.665624231725563</v>
      </c>
      <c r="I78" s="183">
        <f t="shared" si="18"/>
        <v>1.4889671162395186</v>
      </c>
      <c r="J78" s="194">
        <f t="shared" si="18"/>
        <v>3.154591347965082</v>
      </c>
    </row>
  </sheetData>
  <mergeCells count="49">
    <mergeCell ref="J64:J65"/>
    <mergeCell ref="A62:J62"/>
    <mergeCell ref="B63:D63"/>
    <mergeCell ref="E63:G63"/>
    <mergeCell ref="H63:J63"/>
    <mergeCell ref="B64:B65"/>
    <mergeCell ref="C64:C65"/>
    <mergeCell ref="D64:D65"/>
    <mergeCell ref="E64:E65"/>
    <mergeCell ref="F64:F65"/>
    <mergeCell ref="G64:G65"/>
    <mergeCell ref="H64:H65"/>
    <mergeCell ref="I64:I65"/>
    <mergeCell ref="A60:B60"/>
    <mergeCell ref="F24:F25"/>
    <mergeCell ref="G24:G25"/>
    <mergeCell ref="H24:H25"/>
    <mergeCell ref="A40:B40"/>
    <mergeCell ref="A42:H42"/>
    <mergeCell ref="A43:A45"/>
    <mergeCell ref="B43:B45"/>
    <mergeCell ref="C43:E43"/>
    <mergeCell ref="F43:H43"/>
    <mergeCell ref="C44:C45"/>
    <mergeCell ref="D44:D45"/>
    <mergeCell ref="E44:E45"/>
    <mergeCell ref="F44:F45"/>
    <mergeCell ref="G44:G45"/>
    <mergeCell ref="H44:H45"/>
    <mergeCell ref="A20:B20"/>
    <mergeCell ref="A22:H22"/>
    <mergeCell ref="A23:A25"/>
    <mergeCell ref="B23:B25"/>
    <mergeCell ref="C23:E23"/>
    <mergeCell ref="F23:H23"/>
    <mergeCell ref="C24:C25"/>
    <mergeCell ref="D24:D25"/>
    <mergeCell ref="E24:E25"/>
    <mergeCell ref="A2:H2"/>
    <mergeCell ref="A3:A5"/>
    <mergeCell ref="B3:B5"/>
    <mergeCell ref="C3:E3"/>
    <mergeCell ref="F3:H3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P26"/>
  <sheetViews>
    <sheetView tabSelected="1" zoomScaleNormal="100" workbookViewId="0">
      <selection activeCell="A29" sqref="A29"/>
    </sheetView>
  </sheetViews>
  <sheetFormatPr defaultRowHeight="15"/>
  <cols>
    <col min="1" max="1" width="38.5703125" style="5" customWidth="1"/>
    <col min="2" max="11" width="10.7109375" style="5" customWidth="1"/>
    <col min="12" max="14" width="14.140625" style="5" customWidth="1"/>
    <col min="15" max="16384" width="9.140625" style="5"/>
  </cols>
  <sheetData>
    <row r="1" spans="1:16">
      <c r="A1" s="17" t="s">
        <v>88</v>
      </c>
      <c r="B1" s="661" t="s">
        <v>29</v>
      </c>
      <c r="C1" s="661"/>
      <c r="D1" s="661"/>
      <c r="E1" s="661"/>
      <c r="F1" s="661" t="s">
        <v>308</v>
      </c>
      <c r="G1" s="661"/>
      <c r="H1" s="661"/>
      <c r="I1" s="661"/>
      <c r="J1" s="16"/>
      <c r="K1" s="16"/>
      <c r="L1" s="14"/>
      <c r="M1" s="15"/>
      <c r="N1" s="15"/>
      <c r="O1" s="15"/>
      <c r="P1" s="15"/>
    </row>
    <row r="2" spans="1:16" ht="18">
      <c r="A2" s="33" t="s">
        <v>87</v>
      </c>
      <c r="B2" s="13">
        <v>0</v>
      </c>
      <c r="C2" s="13">
        <v>10</v>
      </c>
      <c r="D2" s="13">
        <v>20</v>
      </c>
      <c r="E2" s="13">
        <v>30</v>
      </c>
      <c r="F2" s="4">
        <v>40</v>
      </c>
      <c r="G2" s="4">
        <v>50</v>
      </c>
      <c r="H2" s="4">
        <v>60</v>
      </c>
      <c r="I2" s="4">
        <v>70</v>
      </c>
      <c r="J2" s="18"/>
    </row>
    <row r="3" spans="1:16" ht="18">
      <c r="A3" s="44" t="s">
        <v>90</v>
      </c>
      <c r="B3" s="26">
        <f>'Input Data'!C86</f>
        <v>1</v>
      </c>
      <c r="C3" s="26">
        <f>'Input Data'!D86</f>
        <v>0</v>
      </c>
      <c r="D3" s="26">
        <f>'Input Data'!E86</f>
        <v>0</v>
      </c>
      <c r="E3" s="26">
        <f>'Input Data'!F86</f>
        <v>0</v>
      </c>
      <c r="F3" s="26">
        <f>'Input Data'!G86</f>
        <v>0</v>
      </c>
      <c r="G3" s="26">
        <f>'Input Data'!H86</f>
        <v>0</v>
      </c>
      <c r="H3" s="26">
        <f>'Input Data'!I86</f>
        <v>0</v>
      </c>
      <c r="I3" s="26">
        <f>'Input Data'!J86</f>
        <v>0</v>
      </c>
      <c r="J3" s="19"/>
    </row>
    <row r="4" spans="1:16">
      <c r="B4" s="11"/>
      <c r="C4" s="11"/>
      <c r="D4" s="11"/>
      <c r="E4" s="11"/>
      <c r="F4" s="11"/>
      <c r="G4" s="11"/>
      <c r="H4" s="11"/>
      <c r="I4" s="11"/>
    </row>
    <row r="24" spans="1:13" ht="18">
      <c r="A24" s="2" t="s">
        <v>91</v>
      </c>
    </row>
    <row r="25" spans="1:13" ht="18">
      <c r="A25" s="33" t="s">
        <v>87</v>
      </c>
      <c r="B25" s="13">
        <v>0</v>
      </c>
      <c r="C25" s="13">
        <v>10</v>
      </c>
      <c r="D25" s="13">
        <v>15</v>
      </c>
      <c r="E25" s="13">
        <v>20</v>
      </c>
      <c r="F25" s="13">
        <v>30</v>
      </c>
      <c r="G25" s="13">
        <v>40</v>
      </c>
      <c r="H25" s="13">
        <v>45</v>
      </c>
      <c r="I25" s="13">
        <v>50</v>
      </c>
      <c r="J25" s="13">
        <v>60</v>
      </c>
      <c r="K25" s="13">
        <v>70</v>
      </c>
      <c r="L25" s="4">
        <v>75</v>
      </c>
      <c r="M25" s="4">
        <v>90</v>
      </c>
    </row>
    <row r="26" spans="1:13" ht="18">
      <c r="A26" s="33" t="s">
        <v>92</v>
      </c>
      <c r="B26" s="42">
        <v>1</v>
      </c>
      <c r="C26" s="42">
        <f>C3</f>
        <v>0</v>
      </c>
      <c r="D26" s="219">
        <f>((C26-E26)/(C25-E25))*(D25-C25)+C26</f>
        <v>0</v>
      </c>
      <c r="E26" s="42">
        <f>D3</f>
        <v>0</v>
      </c>
      <c r="F26" s="42">
        <f t="shared" ref="F26:G26" si="0">E3</f>
        <v>0</v>
      </c>
      <c r="G26" s="42">
        <f t="shared" si="0"/>
        <v>0</v>
      </c>
      <c r="H26" s="219">
        <f>((G26-I26)/(G25-I25))*(H25-G25)+G26</f>
        <v>0</v>
      </c>
      <c r="I26" s="42">
        <f>G3</f>
        <v>0</v>
      </c>
      <c r="J26" s="42">
        <f t="shared" ref="J26:K26" si="1">H3</f>
        <v>0</v>
      </c>
      <c r="K26" s="42">
        <f t="shared" si="1"/>
        <v>0</v>
      </c>
      <c r="L26" s="219">
        <f>((K26-M26)/(K25-M25))*(L25-K25)+K26</f>
        <v>0</v>
      </c>
      <c r="M26" s="38">
        <v>0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Q33"/>
  <sheetViews>
    <sheetView zoomScaleNormal="100" workbookViewId="0">
      <selection activeCell="H73" sqref="H73"/>
    </sheetView>
  </sheetViews>
  <sheetFormatPr defaultRowHeight="15"/>
  <cols>
    <col min="1" max="1" width="39.28515625" style="6" customWidth="1"/>
    <col min="2" max="12" width="10.7109375" style="6" customWidth="1"/>
    <col min="13" max="15" width="14.140625" style="6" customWidth="1"/>
    <col min="16" max="16384" width="9.140625" style="6"/>
  </cols>
  <sheetData>
    <row r="1" spans="1:17">
      <c r="A1" s="17" t="s">
        <v>38</v>
      </c>
      <c r="B1" s="662" t="s">
        <v>29</v>
      </c>
      <c r="C1" s="662"/>
      <c r="D1" s="662"/>
      <c r="E1" s="662"/>
      <c r="F1" s="662" t="s">
        <v>40</v>
      </c>
      <c r="G1" s="662"/>
      <c r="H1" s="662"/>
      <c r="I1" s="662"/>
      <c r="J1" s="29"/>
      <c r="K1" s="16"/>
      <c r="L1" s="16"/>
      <c r="M1" s="14"/>
      <c r="N1" s="15"/>
      <c r="O1" s="15"/>
      <c r="P1" s="15"/>
      <c r="Q1" s="15"/>
    </row>
    <row r="2" spans="1:17" ht="18">
      <c r="A2" s="33" t="s">
        <v>87</v>
      </c>
      <c r="B2" s="13">
        <v>0</v>
      </c>
      <c r="C2" s="13">
        <v>10</v>
      </c>
      <c r="D2" s="13">
        <v>20</v>
      </c>
      <c r="E2" s="13">
        <v>30</v>
      </c>
      <c r="F2" s="4">
        <v>40</v>
      </c>
      <c r="G2" s="4">
        <v>50</v>
      </c>
      <c r="H2" s="4">
        <v>60</v>
      </c>
      <c r="I2" s="4">
        <v>70</v>
      </c>
      <c r="J2" s="10"/>
      <c r="K2" s="30"/>
    </row>
    <row r="3" spans="1:17" ht="18">
      <c r="A3" s="33" t="s">
        <v>89</v>
      </c>
      <c r="B3" s="28">
        <f t="shared" ref="B3:I3" si="0">RADIANS(B2)</f>
        <v>0</v>
      </c>
      <c r="C3" s="28">
        <f t="shared" si="0"/>
        <v>0.17453292519943295</v>
      </c>
      <c r="D3" s="28">
        <f t="shared" si="0"/>
        <v>0.3490658503988659</v>
      </c>
      <c r="E3" s="28">
        <f t="shared" si="0"/>
        <v>0.52359877559829882</v>
      </c>
      <c r="F3" s="28">
        <f t="shared" si="0"/>
        <v>0.69813170079773179</v>
      </c>
      <c r="G3" s="28">
        <f t="shared" si="0"/>
        <v>0.87266462599716477</v>
      </c>
      <c r="H3" s="28">
        <f t="shared" si="0"/>
        <v>1.0471975511965976</v>
      </c>
      <c r="I3" s="28">
        <f t="shared" si="0"/>
        <v>1.2217304763960306</v>
      </c>
      <c r="J3" s="31"/>
      <c r="K3" s="31"/>
    </row>
    <row r="4" spans="1:17" ht="18">
      <c r="A4" s="44" t="s">
        <v>93</v>
      </c>
      <c r="B4" s="26">
        <f>'Input Data'!C86</f>
        <v>1</v>
      </c>
      <c r="C4" s="26">
        <f>'Input Data'!D86</f>
        <v>0</v>
      </c>
      <c r="D4" s="26">
        <f>'Input Data'!E86</f>
        <v>0</v>
      </c>
      <c r="E4" s="26">
        <f>'Input Data'!F86</f>
        <v>0</v>
      </c>
      <c r="F4" s="26">
        <f>'Input Data'!G86</f>
        <v>0</v>
      </c>
      <c r="G4" s="26">
        <f>'Input Data'!H86</f>
        <v>0</v>
      </c>
      <c r="H4" s="26">
        <f>'Input Data'!I86</f>
        <v>0</v>
      </c>
      <c r="I4" s="26">
        <f>'Input Data'!J86</f>
        <v>0</v>
      </c>
      <c r="J4" s="25"/>
      <c r="K4" s="24"/>
    </row>
    <row r="5" spans="1:17" ht="18">
      <c r="A5" s="44" t="s">
        <v>94</v>
      </c>
      <c r="B5" s="27">
        <f>B4-1</f>
        <v>0</v>
      </c>
      <c r="C5" s="27">
        <f t="shared" ref="C5:I5" si="1">C4-1</f>
        <v>-1</v>
      </c>
      <c r="D5" s="27">
        <f t="shared" si="1"/>
        <v>-1</v>
      </c>
      <c r="E5" s="27">
        <f t="shared" si="1"/>
        <v>-1</v>
      </c>
      <c r="F5" s="27">
        <f t="shared" si="1"/>
        <v>-1</v>
      </c>
      <c r="G5" s="27">
        <f t="shared" si="1"/>
        <v>-1</v>
      </c>
      <c r="H5" s="27">
        <f t="shared" si="1"/>
        <v>-1</v>
      </c>
      <c r="I5" s="27">
        <f t="shared" si="1"/>
        <v>-1</v>
      </c>
      <c r="J5" s="25"/>
      <c r="K5" s="24"/>
    </row>
    <row r="6" spans="1:17">
      <c r="A6" s="33" t="s">
        <v>39</v>
      </c>
      <c r="B6" s="8">
        <f t="shared" ref="B6:I6" si="2">(1/COS(B3))-1</f>
        <v>0</v>
      </c>
      <c r="C6" s="8">
        <f t="shared" si="2"/>
        <v>1.5426611885745123E-2</v>
      </c>
      <c r="D6" s="8">
        <f t="shared" si="2"/>
        <v>6.4177772475912054E-2</v>
      </c>
      <c r="E6" s="8">
        <f t="shared" si="2"/>
        <v>0.15470053837925146</v>
      </c>
      <c r="F6" s="8">
        <f t="shared" si="2"/>
        <v>0.30540728933227856</v>
      </c>
      <c r="G6" s="8">
        <f t="shared" si="2"/>
        <v>0.55572382686041233</v>
      </c>
      <c r="H6" s="8">
        <f t="shared" si="2"/>
        <v>0.99999999999999956</v>
      </c>
      <c r="I6" s="8">
        <f t="shared" si="2"/>
        <v>1.9238044001630863</v>
      </c>
      <c r="J6" s="32"/>
      <c r="K6" s="32"/>
    </row>
    <row r="7" spans="1:17">
      <c r="A7" s="34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7">
      <c r="A8" s="34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7">
      <c r="A9" s="34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7">
      <c r="A10" s="34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7">
      <c r="A11" s="34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7">
      <c r="A12" s="34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7">
      <c r="A13" s="34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7">
      <c r="A14" s="34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7">
      <c r="A15" s="34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7">
      <c r="A16" s="34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5">
      <c r="A17" s="34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5">
      <c r="A18" s="34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5">
      <c r="A19" s="34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5">
      <c r="A20" s="34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5">
      <c r="A21" s="34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5">
      <c r="A22" s="34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5">
      <c r="A23" s="34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5">
      <c r="A24" s="34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5">
      <c r="A25" s="34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5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5" ht="18">
      <c r="A27" s="33" t="s">
        <v>95</v>
      </c>
      <c r="B27" s="220">
        <f>LINEST(B5:I5,B6:I6,FALSE,FALSE)</f>
        <v>-0.78326162600980354</v>
      </c>
      <c r="C27" s="11"/>
      <c r="D27" s="36"/>
      <c r="E27" s="36"/>
      <c r="F27" s="10"/>
      <c r="G27" s="11"/>
      <c r="H27" s="11"/>
      <c r="I27" s="11"/>
      <c r="J27" s="11"/>
      <c r="K27" s="11"/>
      <c r="N27" s="6">
        <v>-25.364999999999998</v>
      </c>
    </row>
    <row r="28" spans="1:15">
      <c r="A28" s="35" t="s">
        <v>41</v>
      </c>
      <c r="C28" s="11"/>
      <c r="D28" s="37"/>
      <c r="E28" s="37"/>
      <c r="F28" s="11"/>
      <c r="G28" s="11"/>
    </row>
    <row r="29" spans="1:15">
      <c r="A29" s="41" t="str">
        <f>"Kb(θi)= 1  "&amp;TEXT(B27,"0.###")&amp;" * (1/cos θ) -1)"</f>
        <v>Kb(θi)= 1  -0.783 * (1/cos θ) -1)</v>
      </c>
      <c r="C29" s="247"/>
      <c r="D29" s="245" t="str">
        <f>CONCATENATE("Kb(θ)= 1  ",TEXT(B27,"0.###")," * (1/cos θ) -1)")</f>
        <v>Kb(θ)= 1  -0.783 * (1/cos θ) -1)</v>
      </c>
      <c r="E29" s="248"/>
      <c r="F29" s="249"/>
      <c r="G29" s="11"/>
      <c r="H29" s="11"/>
      <c r="I29" s="246"/>
      <c r="J29" s="11"/>
      <c r="K29" s="11"/>
      <c r="L29" s="11"/>
    </row>
    <row r="30" spans="1:15">
      <c r="C30" s="11"/>
      <c r="D30" s="39"/>
      <c r="E30" s="31"/>
      <c r="F30" s="40"/>
      <c r="G30" s="11"/>
    </row>
    <row r="31" spans="1:15" ht="18">
      <c r="A31" s="33" t="s">
        <v>87</v>
      </c>
      <c r="B31" s="13">
        <v>0</v>
      </c>
      <c r="C31" s="13">
        <v>10</v>
      </c>
      <c r="D31" s="13">
        <v>15</v>
      </c>
      <c r="E31" s="13">
        <v>20</v>
      </c>
      <c r="F31" s="13">
        <v>30</v>
      </c>
      <c r="G31" s="13">
        <v>40</v>
      </c>
      <c r="H31" s="13">
        <v>45</v>
      </c>
      <c r="I31" s="13">
        <v>50</v>
      </c>
      <c r="J31" s="13">
        <v>60</v>
      </c>
      <c r="K31" s="13">
        <v>70</v>
      </c>
      <c r="L31" s="4">
        <v>75</v>
      </c>
      <c r="M31" s="10"/>
      <c r="N31" s="10"/>
      <c r="O31" s="10"/>
    </row>
    <row r="32" spans="1:15" ht="18">
      <c r="A32" s="33" t="s">
        <v>89</v>
      </c>
      <c r="B32" s="28">
        <f>RADIANS(B31)</f>
        <v>0</v>
      </c>
      <c r="C32" s="28">
        <f t="shared" ref="C32:L32" si="3">RADIANS(C31)</f>
        <v>0.17453292519943295</v>
      </c>
      <c r="D32" s="28">
        <f t="shared" si="3"/>
        <v>0.26179938779914941</v>
      </c>
      <c r="E32" s="28">
        <f t="shared" si="3"/>
        <v>0.3490658503988659</v>
      </c>
      <c r="F32" s="28">
        <f t="shared" si="3"/>
        <v>0.52359877559829882</v>
      </c>
      <c r="G32" s="28">
        <f t="shared" si="3"/>
        <v>0.69813170079773179</v>
      </c>
      <c r="H32" s="28">
        <f t="shared" si="3"/>
        <v>0.78539816339744828</v>
      </c>
      <c r="I32" s="28">
        <f t="shared" si="3"/>
        <v>0.87266462599716477</v>
      </c>
      <c r="J32" s="28">
        <f t="shared" si="3"/>
        <v>1.0471975511965976</v>
      </c>
      <c r="K32" s="28">
        <f t="shared" si="3"/>
        <v>1.2217304763960306</v>
      </c>
      <c r="L32" s="28">
        <f t="shared" si="3"/>
        <v>1.3089969389957472</v>
      </c>
      <c r="M32" s="31"/>
      <c r="N32" s="31"/>
      <c r="O32" s="31"/>
    </row>
    <row r="33" spans="1:12" ht="18">
      <c r="A33" s="33" t="s">
        <v>92</v>
      </c>
      <c r="B33" s="42">
        <v>1</v>
      </c>
      <c r="C33" s="42">
        <f>C4</f>
        <v>0</v>
      </c>
      <c r="D33" s="244">
        <f>1+$B$27*((1/COS(D32)-1))</f>
        <v>0.97236952157258327</v>
      </c>
      <c r="E33" s="42">
        <f>D4</f>
        <v>0</v>
      </c>
      <c r="F33" s="42">
        <f>E4</f>
        <v>0</v>
      </c>
      <c r="G33" s="42">
        <f>F4</f>
        <v>0</v>
      </c>
      <c r="H33" s="244">
        <f>1+$B$27*((1/COS(H32)-1))</f>
        <v>0.67556241162033648</v>
      </c>
      <c r="I33" s="42">
        <f>G4</f>
        <v>0</v>
      </c>
      <c r="J33" s="42">
        <f>H4</f>
        <v>0</v>
      </c>
      <c r="K33" s="42">
        <f>I4</f>
        <v>0</v>
      </c>
      <c r="L33" s="244">
        <f>1+$B$27*((1/COS(L32)-1))</f>
        <v>-1.2430289072063516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P13"/>
  <sheetViews>
    <sheetView workbookViewId="0">
      <selection activeCell="P8" sqref="P8"/>
    </sheetView>
  </sheetViews>
  <sheetFormatPr defaultRowHeight="15"/>
  <cols>
    <col min="1" max="1" width="41.42578125" style="119" customWidth="1"/>
    <col min="2" max="13" width="10.7109375" style="119" customWidth="1"/>
    <col min="14" max="14" width="20.85546875" style="119" customWidth="1"/>
    <col min="15" max="16384" width="9.140625" style="119"/>
  </cols>
  <sheetData>
    <row r="1" spans="1:16">
      <c r="A1" s="17" t="s">
        <v>88</v>
      </c>
      <c r="B1" s="661" t="s">
        <v>29</v>
      </c>
      <c r="C1" s="661"/>
      <c r="D1" s="661"/>
      <c r="E1" s="661"/>
      <c r="F1" s="661" t="s">
        <v>308</v>
      </c>
      <c r="G1" s="661"/>
      <c r="H1" s="661"/>
      <c r="I1" s="661"/>
      <c r="J1" s="16"/>
      <c r="K1" s="16"/>
      <c r="L1" s="14"/>
      <c r="M1" s="15"/>
      <c r="N1" s="15"/>
      <c r="O1" s="15"/>
      <c r="P1" s="15"/>
    </row>
    <row r="2" spans="1:16" ht="18">
      <c r="A2" s="33" t="s">
        <v>87</v>
      </c>
      <c r="B2" s="13">
        <v>0</v>
      </c>
      <c r="C2" s="13">
        <v>10</v>
      </c>
      <c r="D2" s="13">
        <v>20</v>
      </c>
      <c r="E2" s="13">
        <v>30</v>
      </c>
      <c r="F2" s="4">
        <v>40</v>
      </c>
      <c r="G2" s="4">
        <v>50</v>
      </c>
      <c r="H2" s="4">
        <v>60</v>
      </c>
      <c r="I2" s="4">
        <v>70</v>
      </c>
      <c r="J2" s="30"/>
    </row>
    <row r="3" spans="1:16" ht="18">
      <c r="A3" s="44" t="s">
        <v>90</v>
      </c>
      <c r="B3" s="26">
        <f>'Input Data'!C86</f>
        <v>1</v>
      </c>
      <c r="C3" s="26">
        <f>'Input Data'!D86</f>
        <v>0</v>
      </c>
      <c r="D3" s="26">
        <f>'Input Data'!E86</f>
        <v>0</v>
      </c>
      <c r="E3" s="26">
        <f>'Input Data'!F86</f>
        <v>0</v>
      </c>
      <c r="F3" s="26">
        <f>'Input Data'!G86</f>
        <v>0</v>
      </c>
      <c r="G3" s="26">
        <f>'Input Data'!H86</f>
        <v>0</v>
      </c>
      <c r="H3" s="26">
        <f>'Input Data'!I86</f>
        <v>0</v>
      </c>
      <c r="I3" s="26">
        <f>'Input Data'!J86</f>
        <v>0</v>
      </c>
      <c r="J3" s="24"/>
    </row>
    <row r="5" spans="1:16" ht="18">
      <c r="A5" s="2" t="s">
        <v>96</v>
      </c>
    </row>
    <row r="6" spans="1:16" ht="18">
      <c r="A6" s="33" t="s">
        <v>87</v>
      </c>
      <c r="B6" s="13">
        <v>0</v>
      </c>
      <c r="C6" s="13">
        <v>10</v>
      </c>
      <c r="D6" s="13">
        <v>15</v>
      </c>
      <c r="E6" s="13">
        <v>20</v>
      </c>
      <c r="F6" s="13">
        <v>30</v>
      </c>
      <c r="G6" s="13">
        <v>40</v>
      </c>
      <c r="H6" s="13">
        <v>45</v>
      </c>
      <c r="I6" s="13">
        <v>50</v>
      </c>
      <c r="J6" s="13">
        <v>60</v>
      </c>
      <c r="K6" s="13">
        <v>70</v>
      </c>
      <c r="L6" s="4">
        <v>75</v>
      </c>
      <c r="M6" s="4">
        <v>90</v>
      </c>
    </row>
    <row r="7" spans="1:16" ht="18">
      <c r="A7" s="33" t="s">
        <v>89</v>
      </c>
      <c r="B7" s="118">
        <f t="shared" ref="B7:M7" si="0">RADIANS(B6)</f>
        <v>0</v>
      </c>
      <c r="C7" s="118">
        <f t="shared" si="0"/>
        <v>0.17453292519943295</v>
      </c>
      <c r="D7" s="118">
        <f t="shared" si="0"/>
        <v>0.26179938779914941</v>
      </c>
      <c r="E7" s="118">
        <f t="shared" si="0"/>
        <v>0.3490658503988659</v>
      </c>
      <c r="F7" s="118">
        <f t="shared" si="0"/>
        <v>0.52359877559829882</v>
      </c>
      <c r="G7" s="118">
        <f t="shared" si="0"/>
        <v>0.69813170079773179</v>
      </c>
      <c r="H7" s="118">
        <f t="shared" si="0"/>
        <v>0.78539816339744828</v>
      </c>
      <c r="I7" s="118">
        <f t="shared" si="0"/>
        <v>0.87266462599716477</v>
      </c>
      <c r="J7" s="118">
        <f t="shared" si="0"/>
        <v>1.0471975511965976</v>
      </c>
      <c r="K7" s="118">
        <f t="shared" si="0"/>
        <v>1.2217304763960306</v>
      </c>
      <c r="L7" s="118">
        <f t="shared" si="0"/>
        <v>1.3089969389957472</v>
      </c>
      <c r="M7" s="118">
        <f t="shared" si="0"/>
        <v>1.5707963267948966</v>
      </c>
      <c r="N7" s="221"/>
    </row>
    <row r="8" spans="1:16" ht="18">
      <c r="A8" s="33" t="s">
        <v>92</v>
      </c>
      <c r="B8" s="42">
        <f>B3</f>
        <v>1</v>
      </c>
      <c r="C8" s="42">
        <f>C3</f>
        <v>0</v>
      </c>
      <c r="D8" s="229">
        <f>((C8-E8)/(C6-E6))*(D6-C6)+C8</f>
        <v>0</v>
      </c>
      <c r="E8" s="42">
        <f>D3</f>
        <v>0</v>
      </c>
      <c r="F8" s="42">
        <f>E3</f>
        <v>0</v>
      </c>
      <c r="G8" s="42">
        <f>F3</f>
        <v>0</v>
      </c>
      <c r="H8" s="229">
        <f>((G8-I8)/(G6-I6))*(H6-G6)+G8</f>
        <v>0</v>
      </c>
      <c r="I8" s="42">
        <f>G3</f>
        <v>0</v>
      </c>
      <c r="J8" s="42">
        <f>H3</f>
        <v>0</v>
      </c>
      <c r="K8" s="42">
        <f>I3</f>
        <v>0</v>
      </c>
      <c r="L8" s="229">
        <f>((K8-M8)/(K6-M6))*(L6-K6)+K8</f>
        <v>0</v>
      </c>
      <c r="M8" s="43">
        <v>0</v>
      </c>
      <c r="N8" s="221"/>
    </row>
    <row r="9" spans="1:16" ht="18">
      <c r="A9" s="44" t="s">
        <v>97</v>
      </c>
      <c r="B9" s="118">
        <f t="shared" ref="B9:M9" si="1">SIN(2*(B7))</f>
        <v>0</v>
      </c>
      <c r="C9" s="118">
        <f t="shared" si="1"/>
        <v>0.34202014332566871</v>
      </c>
      <c r="D9" s="118">
        <f t="shared" si="1"/>
        <v>0.49999999999999994</v>
      </c>
      <c r="E9" s="118">
        <f t="shared" si="1"/>
        <v>0.64278760968653925</v>
      </c>
      <c r="F9" s="118">
        <f t="shared" si="1"/>
        <v>0.8660254037844386</v>
      </c>
      <c r="G9" s="118">
        <f t="shared" si="1"/>
        <v>0.98480775301220802</v>
      </c>
      <c r="H9" s="118">
        <f t="shared" si="1"/>
        <v>1</v>
      </c>
      <c r="I9" s="118">
        <f t="shared" si="1"/>
        <v>0.98480775301220802</v>
      </c>
      <c r="J9" s="118">
        <f t="shared" si="1"/>
        <v>0.86602540378443871</v>
      </c>
      <c r="K9" s="118">
        <f t="shared" si="1"/>
        <v>0.64278760968653947</v>
      </c>
      <c r="L9" s="118">
        <f t="shared" si="1"/>
        <v>0.49999999999999994</v>
      </c>
      <c r="M9" s="118">
        <f t="shared" si="1"/>
        <v>1.22514845490862E-16</v>
      </c>
      <c r="N9" s="221"/>
    </row>
    <row r="10" spans="1:16" ht="18">
      <c r="A10" s="44" t="s">
        <v>98</v>
      </c>
      <c r="B10" s="118">
        <f t="shared" ref="B10:M10" si="2">B8*B9</f>
        <v>0</v>
      </c>
      <c r="C10" s="118">
        <f t="shared" si="2"/>
        <v>0</v>
      </c>
      <c r="D10" s="118">
        <f t="shared" si="2"/>
        <v>0</v>
      </c>
      <c r="E10" s="118">
        <f t="shared" si="2"/>
        <v>0</v>
      </c>
      <c r="F10" s="118">
        <f t="shared" si="2"/>
        <v>0</v>
      </c>
      <c r="G10" s="118">
        <f t="shared" si="2"/>
        <v>0</v>
      </c>
      <c r="H10" s="118">
        <f t="shared" si="2"/>
        <v>0</v>
      </c>
      <c r="I10" s="118">
        <f t="shared" si="2"/>
        <v>0</v>
      </c>
      <c r="J10" s="118">
        <f t="shared" si="2"/>
        <v>0</v>
      </c>
      <c r="K10" s="118">
        <f t="shared" si="2"/>
        <v>0</v>
      </c>
      <c r="L10" s="118">
        <f t="shared" si="2"/>
        <v>0</v>
      </c>
      <c r="M10" s="118">
        <f t="shared" si="2"/>
        <v>0</v>
      </c>
      <c r="N10" s="221"/>
    </row>
    <row r="11" spans="1:16" ht="18">
      <c r="A11" s="44" t="s">
        <v>99</v>
      </c>
      <c r="B11" s="60"/>
      <c r="C11" s="38">
        <f t="shared" ref="C11:M11" si="3">((C10+B10)/2)*(C7-B7)</f>
        <v>0</v>
      </c>
      <c r="D11" s="38">
        <f t="shared" si="3"/>
        <v>0</v>
      </c>
      <c r="E11" s="38">
        <f t="shared" si="3"/>
        <v>0</v>
      </c>
      <c r="F11" s="38">
        <f t="shared" si="3"/>
        <v>0</v>
      </c>
      <c r="G11" s="38">
        <f t="shared" si="3"/>
        <v>0</v>
      </c>
      <c r="H11" s="38">
        <f t="shared" si="3"/>
        <v>0</v>
      </c>
      <c r="I11" s="38">
        <f t="shared" si="3"/>
        <v>0</v>
      </c>
      <c r="J11" s="38">
        <f t="shared" si="3"/>
        <v>0</v>
      </c>
      <c r="K11" s="222">
        <f t="shared" si="3"/>
        <v>0</v>
      </c>
      <c r="L11" s="222">
        <f t="shared" si="3"/>
        <v>0</v>
      </c>
      <c r="M11" s="38">
        <f t="shared" si="3"/>
        <v>0</v>
      </c>
      <c r="N11" s="223"/>
      <c r="O11" s="24"/>
    </row>
    <row r="12" spans="1:16" ht="18.75" thickBot="1">
      <c r="K12" s="224"/>
      <c r="L12" s="225" t="s">
        <v>122</v>
      </c>
      <c r="M12" s="226">
        <f>SUM(C11:M11)</f>
        <v>0</v>
      </c>
    </row>
    <row r="13" spans="1:16" ht="18.75" thickBot="1">
      <c r="A13" s="227" t="s">
        <v>100</v>
      </c>
      <c r="B13" s="228">
        <f>SUM(B11:M11)</f>
        <v>0</v>
      </c>
    </row>
  </sheetData>
  <mergeCells count="2">
    <mergeCell ref="B1:E1"/>
    <mergeCell ref="F1:I1"/>
  </mergeCells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F68"/>
  <sheetViews>
    <sheetView zoomScale="75" zoomScaleNormal="75" workbookViewId="0">
      <selection activeCell="A63" sqref="A63"/>
    </sheetView>
  </sheetViews>
  <sheetFormatPr defaultRowHeight="15"/>
  <cols>
    <col min="1" max="26" width="10.7109375" customWidth="1"/>
    <col min="28" max="28" width="11.140625" customWidth="1"/>
    <col min="29" max="30" width="12.7109375" customWidth="1"/>
  </cols>
  <sheetData>
    <row r="1" spans="1:30" s="23" customFormat="1" ht="15" customHeight="1">
      <c r="A1" s="705" t="s">
        <v>37</v>
      </c>
      <c r="B1" s="706"/>
      <c r="C1" s="706"/>
      <c r="D1" s="706"/>
      <c r="E1" s="706"/>
      <c r="F1" s="254"/>
      <c r="G1" s="709" t="s">
        <v>131</v>
      </c>
      <c r="H1" s="709"/>
      <c r="I1" s="709"/>
      <c r="J1" s="709"/>
      <c r="K1" s="709"/>
      <c r="L1" s="254"/>
      <c r="M1" s="254"/>
      <c r="N1" s="243"/>
    </row>
    <row r="2" spans="1:30" s="23" customFormat="1" ht="18">
      <c r="A2" s="9" t="s">
        <v>32</v>
      </c>
      <c r="B2" s="20">
        <f>'Input Data'!C77</f>
        <v>0</v>
      </c>
      <c r="C2" s="238"/>
      <c r="D2" s="255"/>
      <c r="E2" s="255"/>
      <c r="F2" s="254"/>
      <c r="G2" s="266" t="str">
        <f>CONCATENATE("η = ",B2," -  ",B3,"(Ti*) - ",B4,"G(Ti*)^2")</f>
        <v>η = 0 -  0(Ti*) - 0G(Ti*)^2</v>
      </c>
      <c r="H2" s="267"/>
      <c r="I2" s="267"/>
      <c r="J2" s="267"/>
      <c r="K2" s="267"/>
      <c r="L2" s="261"/>
    </row>
    <row r="3" spans="1:30" s="23" customFormat="1" ht="18">
      <c r="A3" s="22" t="s">
        <v>33</v>
      </c>
      <c r="B3" s="7">
        <f>'Input Data'!C78</f>
        <v>0</v>
      </c>
      <c r="C3" s="240" t="s">
        <v>30</v>
      </c>
      <c r="D3" s="256"/>
      <c r="E3" s="256"/>
      <c r="F3" s="257"/>
      <c r="G3" s="258"/>
      <c r="H3" s="11"/>
      <c r="I3" s="11"/>
      <c r="J3" s="11"/>
    </row>
    <row r="4" spans="1:30" s="23" customFormat="1" ht="18">
      <c r="A4" s="22" t="s">
        <v>34</v>
      </c>
      <c r="B4" s="12">
        <f>'Input Data'!C79</f>
        <v>0</v>
      </c>
      <c r="C4" s="240" t="s">
        <v>35</v>
      </c>
      <c r="D4" s="256"/>
      <c r="E4" s="256"/>
      <c r="F4" s="257"/>
      <c r="G4" s="321"/>
      <c r="H4" s="321"/>
      <c r="I4" s="321"/>
      <c r="J4" s="321"/>
    </row>
    <row r="5" spans="1:30" s="231" customFormat="1" ht="15" customHeight="1">
      <c r="A5" s="707" t="s">
        <v>132</v>
      </c>
      <c r="B5" s="708"/>
      <c r="C5" s="708"/>
      <c r="D5" s="708"/>
      <c r="E5" s="256"/>
      <c r="F5" s="259"/>
      <c r="G5" s="259"/>
      <c r="H5" s="247"/>
      <c r="I5" s="247"/>
      <c r="J5" s="247"/>
    </row>
    <row r="6" spans="1:30" s="23" customFormat="1" ht="15" customHeight="1">
      <c r="A6" s="21" t="s">
        <v>133</v>
      </c>
      <c r="B6" s="260">
        <f>'Input Data'!C31</f>
        <v>0</v>
      </c>
      <c r="C6" s="60" t="s">
        <v>20</v>
      </c>
      <c r="D6" s="254"/>
      <c r="E6" s="254"/>
      <c r="F6" s="254"/>
      <c r="G6" s="254"/>
      <c r="H6" s="11"/>
      <c r="I6" s="11"/>
      <c r="J6" s="11"/>
    </row>
    <row r="7" spans="1:30" s="58" customFormat="1" ht="15" customHeight="1">
      <c r="A7" s="57"/>
      <c r="B7" s="57"/>
      <c r="C7" s="57"/>
      <c r="D7" s="57"/>
      <c r="E7" s="57"/>
      <c r="F7" s="57"/>
      <c r="G7" s="57"/>
      <c r="H7" s="57"/>
      <c r="J7" s="239"/>
      <c r="K7" s="250"/>
      <c r="L7" s="250"/>
      <c r="M7" s="250"/>
      <c r="N7" s="250"/>
      <c r="O7" s="250"/>
      <c r="P7" s="250"/>
    </row>
    <row r="8" spans="1:30" ht="20.100000000000001" customHeight="1">
      <c r="A8" s="677" t="s">
        <v>3</v>
      </c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9"/>
    </row>
    <row r="9" spans="1:30" ht="15" customHeight="1">
      <c r="A9" s="665" t="s">
        <v>1</v>
      </c>
      <c r="B9" s="667" t="s">
        <v>7</v>
      </c>
      <c r="C9" s="672" t="s">
        <v>5</v>
      </c>
      <c r="D9" s="673"/>
      <c r="E9" s="674"/>
      <c r="F9" s="672" t="s">
        <v>17</v>
      </c>
      <c r="G9" s="673"/>
      <c r="H9" s="674"/>
      <c r="I9" s="672" t="s">
        <v>55</v>
      </c>
      <c r="J9" s="674"/>
      <c r="K9" s="680" t="s">
        <v>129</v>
      </c>
      <c r="L9" s="672" t="s">
        <v>134</v>
      </c>
      <c r="M9" s="673"/>
      <c r="N9" s="673"/>
      <c r="O9" s="673"/>
      <c r="P9" s="674"/>
      <c r="Q9" s="672" t="s">
        <v>57</v>
      </c>
      <c r="R9" s="673"/>
      <c r="S9" s="673"/>
      <c r="T9" s="673"/>
      <c r="U9" s="674"/>
      <c r="V9" s="672" t="s">
        <v>44</v>
      </c>
      <c r="W9" s="673"/>
      <c r="X9" s="673"/>
      <c r="Y9" s="673"/>
      <c r="Z9" s="674"/>
    </row>
    <row r="10" spans="1:30" ht="50.1" customHeight="1">
      <c r="A10" s="666"/>
      <c r="B10" s="668"/>
      <c r="C10" s="683" t="s">
        <v>123</v>
      </c>
      <c r="D10" s="669" t="s">
        <v>124</v>
      </c>
      <c r="E10" s="684" t="s">
        <v>125</v>
      </c>
      <c r="F10" s="683" t="s">
        <v>126</v>
      </c>
      <c r="G10" s="669" t="s">
        <v>65</v>
      </c>
      <c r="H10" s="670" t="s">
        <v>127</v>
      </c>
      <c r="I10" s="675" t="s">
        <v>130</v>
      </c>
      <c r="J10" s="698" t="s">
        <v>18</v>
      </c>
      <c r="K10" s="681"/>
      <c r="L10" s="236" t="s">
        <v>145</v>
      </c>
      <c r="M10" s="75" t="s">
        <v>145</v>
      </c>
      <c r="N10" s="75" t="s">
        <v>145</v>
      </c>
      <c r="O10" s="75" t="s">
        <v>145</v>
      </c>
      <c r="P10" s="237" t="s">
        <v>145</v>
      </c>
      <c r="Q10" s="236" t="s">
        <v>145</v>
      </c>
      <c r="R10" s="75" t="s">
        <v>145</v>
      </c>
      <c r="S10" s="75" t="s">
        <v>145</v>
      </c>
      <c r="T10" s="75" t="s">
        <v>145</v>
      </c>
      <c r="U10" s="237" t="s">
        <v>145</v>
      </c>
      <c r="V10" s="236" t="s">
        <v>145</v>
      </c>
      <c r="W10" s="75" t="s">
        <v>145</v>
      </c>
      <c r="X10" s="75" t="s">
        <v>145</v>
      </c>
      <c r="Y10" s="75" t="s">
        <v>145</v>
      </c>
      <c r="Z10" s="237" t="s">
        <v>145</v>
      </c>
    </row>
    <row r="11" spans="1:30" s="23" customFormat="1" ht="15" customHeight="1">
      <c r="A11" s="666"/>
      <c r="B11" s="668"/>
      <c r="C11" s="683"/>
      <c r="D11" s="669"/>
      <c r="E11" s="684"/>
      <c r="F11" s="683"/>
      <c r="G11" s="669"/>
      <c r="H11" s="671"/>
      <c r="I11" s="675"/>
      <c r="J11" s="698"/>
      <c r="K11" s="682"/>
      <c r="L11" s="76">
        <v>-5</v>
      </c>
      <c r="M11" s="77">
        <v>5</v>
      </c>
      <c r="N11" s="77">
        <v>20</v>
      </c>
      <c r="O11" s="77">
        <v>50</v>
      </c>
      <c r="P11" s="78">
        <v>80</v>
      </c>
      <c r="Q11" s="76">
        <v>-5</v>
      </c>
      <c r="R11" s="77">
        <v>5</v>
      </c>
      <c r="S11" s="77">
        <v>20</v>
      </c>
      <c r="T11" s="77">
        <v>50</v>
      </c>
      <c r="U11" s="78">
        <v>80</v>
      </c>
      <c r="V11" s="76">
        <v>-5</v>
      </c>
      <c r="W11" s="77">
        <v>5</v>
      </c>
      <c r="X11" s="77">
        <v>20</v>
      </c>
      <c r="Y11" s="77">
        <v>50</v>
      </c>
      <c r="Z11" s="78">
        <v>80</v>
      </c>
      <c r="AB11" s="11"/>
      <c r="AC11" s="685"/>
      <c r="AD11" s="685"/>
    </row>
    <row r="12" spans="1:30" ht="15" customHeight="1">
      <c r="A12" s="79" t="s">
        <v>56</v>
      </c>
      <c r="B12" s="80" t="s">
        <v>8</v>
      </c>
      <c r="C12" s="251" t="s">
        <v>128</v>
      </c>
      <c r="D12" s="252" t="s">
        <v>128</v>
      </c>
      <c r="E12" s="253" t="s">
        <v>128</v>
      </c>
      <c r="F12" s="79" t="s">
        <v>8</v>
      </c>
      <c r="G12" s="81" t="s">
        <v>8</v>
      </c>
      <c r="H12" s="80" t="s">
        <v>8</v>
      </c>
      <c r="I12" s="676"/>
      <c r="J12" s="699"/>
      <c r="K12" s="264" t="s">
        <v>144</v>
      </c>
      <c r="L12" s="82" t="s">
        <v>43</v>
      </c>
      <c r="M12" s="83" t="s">
        <v>43</v>
      </c>
      <c r="N12" s="83" t="s">
        <v>43</v>
      </c>
      <c r="O12" s="83" t="s">
        <v>43</v>
      </c>
      <c r="P12" s="84" t="s">
        <v>43</v>
      </c>
      <c r="Q12" s="79" t="s">
        <v>142</v>
      </c>
      <c r="R12" s="81" t="s">
        <v>142</v>
      </c>
      <c r="S12" s="81" t="s">
        <v>142</v>
      </c>
      <c r="T12" s="81" t="s">
        <v>142</v>
      </c>
      <c r="U12" s="80" t="s">
        <v>142</v>
      </c>
      <c r="V12" s="79" t="s">
        <v>143</v>
      </c>
      <c r="W12" s="81" t="s">
        <v>143</v>
      </c>
      <c r="X12" s="81" t="s">
        <v>143</v>
      </c>
      <c r="Y12" s="81" t="s">
        <v>143</v>
      </c>
      <c r="Z12" s="80" t="s">
        <v>143</v>
      </c>
      <c r="AB12" s="696"/>
      <c r="AC12" s="686" t="s">
        <v>53</v>
      </c>
      <c r="AD12" s="687"/>
    </row>
    <row r="13" spans="1:30" ht="15" customHeight="1">
      <c r="A13" s="67">
        <v>7</v>
      </c>
      <c r="B13" s="68">
        <f>(180/12)*ABS(12-A13)</f>
        <v>75</v>
      </c>
      <c r="C13" s="179">
        <v>116.71987987470804</v>
      </c>
      <c r="D13" s="180">
        <v>47.318870219476231</v>
      </c>
      <c r="E13" s="181">
        <v>164.03875009418428</v>
      </c>
      <c r="F13" s="178">
        <v>75</v>
      </c>
      <c r="G13" s="158">
        <v>75</v>
      </c>
      <c r="H13" s="172">
        <v>0</v>
      </c>
      <c r="I13" s="85">
        <f>'IAM (Numerical)'!$L$26</f>
        <v>0</v>
      </c>
      <c r="J13" s="263">
        <f>'Diffuse Modifier (Numerical)'!$B$13</f>
        <v>0</v>
      </c>
      <c r="K13" s="87">
        <f t="shared" ref="K13:K23" si="0">(C13*I13)+(D13*J13)</f>
        <v>0</v>
      </c>
      <c r="L13" s="88" t="e">
        <f>IF(($B$2-($B$3*(L$11/$K13))-($B$4*$K13*(L$11/$K13)^2)&lt;0),0,($B$2-$B$3*(L$11/$K13)-$B$4*$K13*(L$11/$K13)^2))</f>
        <v>#DIV/0!</v>
      </c>
      <c r="M13" s="89" t="e">
        <f t="shared" ref="M13:P23" si="1">IF(($B$2-($B$3*(M$11/$K13))-($B$4*$K13*(M$11/$K13)^2)&lt;0),0,($B$2-$B$3*(M$11/$K13)-$B$4*$K13*(M$11/$K13)^2))</f>
        <v>#DIV/0!</v>
      </c>
      <c r="N13" s="89" t="e">
        <f t="shared" si="1"/>
        <v>#DIV/0!</v>
      </c>
      <c r="O13" s="89" t="e">
        <f t="shared" si="1"/>
        <v>#DIV/0!</v>
      </c>
      <c r="P13" s="90" t="e">
        <f t="shared" si="1"/>
        <v>#DIV/0!</v>
      </c>
      <c r="Q13" s="91" t="e">
        <f>L13*$K13</f>
        <v>#DIV/0!</v>
      </c>
      <c r="R13" s="92" t="e">
        <f t="shared" ref="R13:U13" si="2">M13*$K13</f>
        <v>#DIV/0!</v>
      </c>
      <c r="S13" s="92" t="e">
        <f t="shared" si="2"/>
        <v>#DIV/0!</v>
      </c>
      <c r="T13" s="92" t="e">
        <f t="shared" si="2"/>
        <v>#DIV/0!</v>
      </c>
      <c r="U13" s="93" t="e">
        <f t="shared" si="2"/>
        <v>#DIV/0!</v>
      </c>
      <c r="V13" s="94" t="e">
        <f>Q13*$B$6</f>
        <v>#DIV/0!</v>
      </c>
      <c r="W13" s="59" t="e">
        <f t="shared" ref="W13:Z13" si="3">R13*$B$6</f>
        <v>#DIV/0!</v>
      </c>
      <c r="X13" s="59" t="e">
        <f t="shared" si="3"/>
        <v>#DIV/0!</v>
      </c>
      <c r="Y13" s="59" t="e">
        <f t="shared" si="3"/>
        <v>#DIV/0!</v>
      </c>
      <c r="Z13" s="95" t="e">
        <f t="shared" si="3"/>
        <v>#DIV/0!</v>
      </c>
      <c r="AB13" s="696"/>
      <c r="AC13" s="688"/>
      <c r="AD13" s="689"/>
    </row>
    <row r="14" spans="1:30" ht="15" customHeight="1">
      <c r="A14" s="67">
        <v>8</v>
      </c>
      <c r="B14" s="68">
        <f>(180/12)*ABS(12-A14)</f>
        <v>60</v>
      </c>
      <c r="C14" s="179">
        <v>268.14026457703199</v>
      </c>
      <c r="D14" s="180">
        <v>91.483149090987382</v>
      </c>
      <c r="E14" s="181">
        <v>359.62341366801934</v>
      </c>
      <c r="F14" s="178">
        <v>60</v>
      </c>
      <c r="G14" s="158">
        <v>60</v>
      </c>
      <c r="H14" s="172">
        <v>0</v>
      </c>
      <c r="I14" s="61">
        <f>'IAM (Numerical)'!$J$26</f>
        <v>0</v>
      </c>
      <c r="J14" s="62">
        <f>'Diffuse Modifier (Numerical)'!$B$13</f>
        <v>0</v>
      </c>
      <c r="K14" s="63">
        <f t="shared" si="0"/>
        <v>0</v>
      </c>
      <c r="L14" s="48" t="e">
        <f t="shared" ref="L14:L23" si="4">IF(($B$2-($B$3*(L$11/$K14))-($B$4*$K14*(L$11/$K14)^2)&lt;0),0,($B$2-$B$3*(L$11/$K14)-$B$4*$K14*(L$11/$K14)^2))</f>
        <v>#DIV/0!</v>
      </c>
      <c r="M14" s="49" t="e">
        <f t="shared" si="1"/>
        <v>#DIV/0!</v>
      </c>
      <c r="N14" s="49" t="e">
        <f t="shared" si="1"/>
        <v>#DIV/0!</v>
      </c>
      <c r="O14" s="49" t="e">
        <f t="shared" si="1"/>
        <v>#DIV/0!</v>
      </c>
      <c r="P14" s="50" t="e">
        <f t="shared" si="1"/>
        <v>#DIV/0!</v>
      </c>
      <c r="Q14" s="51" t="e">
        <f t="shared" ref="Q14:Q23" si="5">L14*$K14</f>
        <v>#DIV/0!</v>
      </c>
      <c r="R14" s="52" t="e">
        <f t="shared" ref="R14:R23" si="6">M14*$K14</f>
        <v>#DIV/0!</v>
      </c>
      <c r="S14" s="52" t="e">
        <f t="shared" ref="S14:S23" si="7">N14*$K14</f>
        <v>#DIV/0!</v>
      </c>
      <c r="T14" s="52" t="e">
        <f t="shared" ref="T14:T23" si="8">O14*$K14</f>
        <v>#DIV/0!</v>
      </c>
      <c r="U14" s="53" t="e">
        <f t="shared" ref="U14:U23" si="9">P14*$K14</f>
        <v>#DIV/0!</v>
      </c>
      <c r="V14" s="54" t="e">
        <f t="shared" ref="V14:V23" si="10">Q14*$B$6</f>
        <v>#DIV/0!</v>
      </c>
      <c r="W14" s="55" t="e">
        <f t="shared" ref="W14:W23" si="11">R14*$B$6</f>
        <v>#DIV/0!</v>
      </c>
      <c r="X14" s="55" t="e">
        <f t="shared" ref="X14:X23" si="12">S14*$B$6</f>
        <v>#DIV/0!</v>
      </c>
      <c r="Y14" s="55" t="e">
        <f t="shared" ref="Y14:Y23" si="13">T14*$B$6</f>
        <v>#DIV/0!</v>
      </c>
      <c r="Z14" s="56" t="e">
        <f t="shared" ref="Z14:Z23" si="14">U14*$B$6</f>
        <v>#DIV/0!</v>
      </c>
      <c r="AB14" s="696"/>
      <c r="AC14" s="692" t="s">
        <v>51</v>
      </c>
      <c r="AD14" s="693"/>
    </row>
    <row r="15" spans="1:30" ht="15" customHeight="1">
      <c r="A15" s="67">
        <v>9</v>
      </c>
      <c r="B15" s="68">
        <f t="shared" ref="B15:B23" si="15">(180/12)*ABS(12-A15)</f>
        <v>45</v>
      </c>
      <c r="C15" s="179">
        <v>435.33360601918133</v>
      </c>
      <c r="D15" s="180">
        <v>126.1836539186033</v>
      </c>
      <c r="E15" s="181">
        <v>561.51725993778462</v>
      </c>
      <c r="F15" s="178">
        <v>45</v>
      </c>
      <c r="G15" s="158">
        <v>45</v>
      </c>
      <c r="H15" s="172">
        <v>0</v>
      </c>
      <c r="I15" s="61">
        <f>'IAM (Numerical)'!$H$26</f>
        <v>0</v>
      </c>
      <c r="J15" s="62">
        <f>'Diffuse Modifier (Numerical)'!$B$13</f>
        <v>0</v>
      </c>
      <c r="K15" s="63">
        <f t="shared" si="0"/>
        <v>0</v>
      </c>
      <c r="L15" s="48" t="e">
        <f t="shared" si="4"/>
        <v>#DIV/0!</v>
      </c>
      <c r="M15" s="49" t="e">
        <f t="shared" si="1"/>
        <v>#DIV/0!</v>
      </c>
      <c r="N15" s="49" t="e">
        <f t="shared" si="1"/>
        <v>#DIV/0!</v>
      </c>
      <c r="O15" s="49" t="e">
        <f t="shared" si="1"/>
        <v>#DIV/0!</v>
      </c>
      <c r="P15" s="50" t="e">
        <f t="shared" si="1"/>
        <v>#DIV/0!</v>
      </c>
      <c r="Q15" s="51" t="e">
        <f t="shared" si="5"/>
        <v>#DIV/0!</v>
      </c>
      <c r="R15" s="52" t="e">
        <f t="shared" si="6"/>
        <v>#DIV/0!</v>
      </c>
      <c r="S15" s="52" t="e">
        <f t="shared" si="7"/>
        <v>#DIV/0!</v>
      </c>
      <c r="T15" s="52" t="e">
        <f t="shared" si="8"/>
        <v>#DIV/0!</v>
      </c>
      <c r="U15" s="53" t="e">
        <f t="shared" si="9"/>
        <v>#DIV/0!</v>
      </c>
      <c r="V15" s="54" t="e">
        <f t="shared" si="10"/>
        <v>#DIV/0!</v>
      </c>
      <c r="W15" s="55" t="e">
        <f t="shared" si="11"/>
        <v>#DIV/0!</v>
      </c>
      <c r="X15" s="55" t="e">
        <f t="shared" si="12"/>
        <v>#DIV/0!</v>
      </c>
      <c r="Y15" s="55" t="e">
        <f t="shared" si="13"/>
        <v>#DIV/0!</v>
      </c>
      <c r="Z15" s="56" t="e">
        <f t="shared" si="14"/>
        <v>#DIV/0!</v>
      </c>
      <c r="AB15" s="696"/>
      <c r="AC15" s="694"/>
      <c r="AD15" s="695"/>
    </row>
    <row r="16" spans="1:30" ht="15" customHeight="1">
      <c r="A16" s="67">
        <v>10</v>
      </c>
      <c r="B16" s="68">
        <f t="shared" si="15"/>
        <v>30</v>
      </c>
      <c r="C16" s="179">
        <v>589.90858206947041</v>
      </c>
      <c r="D16" s="180">
        <v>157.72956739825409</v>
      </c>
      <c r="E16" s="181">
        <v>747.63814946772447</v>
      </c>
      <c r="F16" s="178">
        <v>30</v>
      </c>
      <c r="G16" s="158">
        <v>30</v>
      </c>
      <c r="H16" s="172">
        <v>0</v>
      </c>
      <c r="I16" s="61">
        <f>'IAM (Numerical)'!$F$26</f>
        <v>0</v>
      </c>
      <c r="J16" s="62">
        <f>'Diffuse Modifier (Numerical)'!$B$13</f>
        <v>0</v>
      </c>
      <c r="K16" s="63">
        <f t="shared" si="0"/>
        <v>0</v>
      </c>
      <c r="L16" s="48" t="e">
        <f t="shared" si="4"/>
        <v>#DIV/0!</v>
      </c>
      <c r="M16" s="49" t="e">
        <f t="shared" si="1"/>
        <v>#DIV/0!</v>
      </c>
      <c r="N16" s="49" t="e">
        <f t="shared" si="1"/>
        <v>#DIV/0!</v>
      </c>
      <c r="O16" s="49" t="e">
        <f t="shared" si="1"/>
        <v>#DIV/0!</v>
      </c>
      <c r="P16" s="50" t="e">
        <f t="shared" si="1"/>
        <v>#DIV/0!</v>
      </c>
      <c r="Q16" s="51" t="e">
        <f t="shared" si="5"/>
        <v>#DIV/0!</v>
      </c>
      <c r="R16" s="52" t="e">
        <f t="shared" si="6"/>
        <v>#DIV/0!</v>
      </c>
      <c r="S16" s="52" t="e">
        <f t="shared" si="7"/>
        <v>#DIV/0!</v>
      </c>
      <c r="T16" s="52" t="e">
        <f t="shared" si="8"/>
        <v>#DIV/0!</v>
      </c>
      <c r="U16" s="53" t="e">
        <f t="shared" si="9"/>
        <v>#DIV/0!</v>
      </c>
      <c r="V16" s="54" t="e">
        <f t="shared" si="10"/>
        <v>#DIV/0!</v>
      </c>
      <c r="W16" s="55" t="e">
        <f t="shared" si="11"/>
        <v>#DIV/0!</v>
      </c>
      <c r="X16" s="55" t="e">
        <f t="shared" si="12"/>
        <v>#DIV/0!</v>
      </c>
      <c r="Y16" s="55" t="e">
        <f t="shared" si="13"/>
        <v>#DIV/0!</v>
      </c>
      <c r="Z16" s="56" t="e">
        <f t="shared" si="14"/>
        <v>#DIV/0!</v>
      </c>
      <c r="AB16" s="696"/>
      <c r="AC16" s="690" t="s">
        <v>147</v>
      </c>
      <c r="AD16" s="691"/>
    </row>
    <row r="17" spans="1:32" ht="15" customHeight="1">
      <c r="A17" s="67">
        <v>11</v>
      </c>
      <c r="B17" s="68">
        <f t="shared" si="15"/>
        <v>15</v>
      </c>
      <c r="C17" s="179">
        <v>694.01009655231803</v>
      </c>
      <c r="D17" s="180">
        <v>173.50252413807951</v>
      </c>
      <c r="E17" s="181">
        <v>867.51262069039751</v>
      </c>
      <c r="F17" s="178">
        <v>15</v>
      </c>
      <c r="G17" s="158">
        <v>15</v>
      </c>
      <c r="H17" s="172">
        <v>0</v>
      </c>
      <c r="I17" s="61">
        <f>'IAM (Numerical)'!$D$26</f>
        <v>0</v>
      </c>
      <c r="J17" s="62">
        <f>'Diffuse Modifier (Numerical)'!$B$13</f>
        <v>0</v>
      </c>
      <c r="K17" s="63">
        <f t="shared" si="0"/>
        <v>0</v>
      </c>
      <c r="L17" s="48" t="e">
        <f t="shared" si="4"/>
        <v>#DIV/0!</v>
      </c>
      <c r="M17" s="49" t="e">
        <f t="shared" si="1"/>
        <v>#DIV/0!</v>
      </c>
      <c r="N17" s="49" t="e">
        <f t="shared" si="1"/>
        <v>#DIV/0!</v>
      </c>
      <c r="O17" s="49" t="e">
        <f t="shared" si="1"/>
        <v>#DIV/0!</v>
      </c>
      <c r="P17" s="50" t="e">
        <f t="shared" si="1"/>
        <v>#DIV/0!</v>
      </c>
      <c r="Q17" s="51" t="e">
        <f t="shared" si="5"/>
        <v>#DIV/0!</v>
      </c>
      <c r="R17" s="52" t="e">
        <f t="shared" si="6"/>
        <v>#DIV/0!</v>
      </c>
      <c r="S17" s="52" t="e">
        <f t="shared" si="7"/>
        <v>#DIV/0!</v>
      </c>
      <c r="T17" s="52" t="e">
        <f t="shared" si="8"/>
        <v>#DIV/0!</v>
      </c>
      <c r="U17" s="53" t="e">
        <f t="shared" si="9"/>
        <v>#DIV/0!</v>
      </c>
      <c r="V17" s="54" t="e">
        <f t="shared" si="10"/>
        <v>#DIV/0!</v>
      </c>
      <c r="W17" s="55" t="e">
        <f t="shared" si="11"/>
        <v>#DIV/0!</v>
      </c>
      <c r="X17" s="55" t="e">
        <f t="shared" si="12"/>
        <v>#DIV/0!</v>
      </c>
      <c r="Y17" s="55" t="e">
        <f t="shared" si="13"/>
        <v>#DIV/0!</v>
      </c>
      <c r="Z17" s="56" t="e">
        <f t="shared" si="14"/>
        <v>#DIV/0!</v>
      </c>
      <c r="AB17" s="696"/>
      <c r="AC17" s="108" t="s">
        <v>148</v>
      </c>
      <c r="AD17" s="109" t="s">
        <v>52</v>
      </c>
    </row>
    <row r="18" spans="1:32" ht="15" customHeight="1">
      <c r="A18" s="67">
        <v>12</v>
      </c>
      <c r="B18" s="68">
        <f t="shared" si="15"/>
        <v>0</v>
      </c>
      <c r="C18" s="179">
        <v>728.71060137993402</v>
      </c>
      <c r="D18" s="180">
        <v>179.81170683400967</v>
      </c>
      <c r="E18" s="181">
        <v>908.52230821394357</v>
      </c>
      <c r="F18" s="178">
        <v>0</v>
      </c>
      <c r="G18" s="158">
        <v>0</v>
      </c>
      <c r="H18" s="172">
        <v>0</v>
      </c>
      <c r="I18" s="61">
        <v>1</v>
      </c>
      <c r="J18" s="62">
        <f>'Diffuse Modifier (Numerical)'!$B$13</f>
        <v>0</v>
      </c>
      <c r="K18" s="63">
        <f t="shared" si="0"/>
        <v>728.71060137993402</v>
      </c>
      <c r="L18" s="48">
        <f t="shared" si="4"/>
        <v>0</v>
      </c>
      <c r="M18" s="49">
        <f t="shared" si="1"/>
        <v>0</v>
      </c>
      <c r="N18" s="49">
        <f t="shared" si="1"/>
        <v>0</v>
      </c>
      <c r="O18" s="49">
        <f t="shared" si="1"/>
        <v>0</v>
      </c>
      <c r="P18" s="50">
        <f t="shared" si="1"/>
        <v>0</v>
      </c>
      <c r="Q18" s="51">
        <f t="shared" si="5"/>
        <v>0</v>
      </c>
      <c r="R18" s="52">
        <f t="shared" si="6"/>
        <v>0</v>
      </c>
      <c r="S18" s="52">
        <f t="shared" si="7"/>
        <v>0</v>
      </c>
      <c r="T18" s="52">
        <f t="shared" si="8"/>
        <v>0</v>
      </c>
      <c r="U18" s="53">
        <f t="shared" si="9"/>
        <v>0</v>
      </c>
      <c r="V18" s="54">
        <f t="shared" si="10"/>
        <v>0</v>
      </c>
      <c r="W18" s="55">
        <f t="shared" si="11"/>
        <v>0</v>
      </c>
      <c r="X18" s="55">
        <f t="shared" si="12"/>
        <v>0</v>
      </c>
      <c r="Y18" s="55">
        <f t="shared" si="13"/>
        <v>0</v>
      </c>
      <c r="Z18" s="56">
        <f t="shared" si="14"/>
        <v>0</v>
      </c>
      <c r="AB18" s="697"/>
      <c r="AC18" s="110" t="s">
        <v>149</v>
      </c>
      <c r="AD18" s="111" t="s">
        <v>150</v>
      </c>
    </row>
    <row r="19" spans="1:32" ht="15" customHeight="1">
      <c r="A19" s="67">
        <v>13</v>
      </c>
      <c r="B19" s="68">
        <f t="shared" si="15"/>
        <v>15</v>
      </c>
      <c r="C19" s="179">
        <v>694.01009655231803</v>
      </c>
      <c r="D19" s="180">
        <v>173.50252413807951</v>
      </c>
      <c r="E19" s="181">
        <v>867.51262069039751</v>
      </c>
      <c r="F19" s="178">
        <v>15</v>
      </c>
      <c r="G19" s="158">
        <v>15</v>
      </c>
      <c r="H19" s="172">
        <v>0</v>
      </c>
      <c r="I19" s="61">
        <f>I17</f>
        <v>0</v>
      </c>
      <c r="J19" s="62">
        <f>'Diffuse Modifier (Numerical)'!$B$13</f>
        <v>0</v>
      </c>
      <c r="K19" s="63">
        <f t="shared" si="0"/>
        <v>0</v>
      </c>
      <c r="L19" s="48" t="e">
        <f t="shared" si="4"/>
        <v>#DIV/0!</v>
      </c>
      <c r="M19" s="49" t="e">
        <f t="shared" si="1"/>
        <v>#DIV/0!</v>
      </c>
      <c r="N19" s="49" t="e">
        <f t="shared" si="1"/>
        <v>#DIV/0!</v>
      </c>
      <c r="O19" s="49" t="e">
        <f t="shared" si="1"/>
        <v>#DIV/0!</v>
      </c>
      <c r="P19" s="50" t="e">
        <f t="shared" si="1"/>
        <v>#DIV/0!</v>
      </c>
      <c r="Q19" s="51" t="e">
        <f t="shared" si="5"/>
        <v>#DIV/0!</v>
      </c>
      <c r="R19" s="52" t="e">
        <f t="shared" si="6"/>
        <v>#DIV/0!</v>
      </c>
      <c r="S19" s="52" t="e">
        <f t="shared" si="7"/>
        <v>#DIV/0!</v>
      </c>
      <c r="T19" s="52" t="e">
        <f t="shared" si="8"/>
        <v>#DIV/0!</v>
      </c>
      <c r="U19" s="53" t="e">
        <f t="shared" si="9"/>
        <v>#DIV/0!</v>
      </c>
      <c r="V19" s="54" t="e">
        <f t="shared" si="10"/>
        <v>#DIV/0!</v>
      </c>
      <c r="W19" s="55" t="e">
        <f t="shared" si="11"/>
        <v>#DIV/0!</v>
      </c>
      <c r="X19" s="55" t="e">
        <f t="shared" si="12"/>
        <v>#DIV/0!</v>
      </c>
      <c r="Y19" s="55" t="e">
        <f t="shared" si="13"/>
        <v>#DIV/0!</v>
      </c>
      <c r="Z19" s="56" t="e">
        <f t="shared" si="14"/>
        <v>#DIV/0!</v>
      </c>
      <c r="AB19" s="60" t="s">
        <v>46</v>
      </c>
      <c r="AC19" s="106" t="e">
        <f>Q24/1000</f>
        <v>#DIV/0!</v>
      </c>
      <c r="AD19" s="107" t="e">
        <f>V24/1000</f>
        <v>#DIV/0!</v>
      </c>
    </row>
    <row r="20" spans="1:32" ht="15" customHeight="1">
      <c r="A20" s="67">
        <v>14</v>
      </c>
      <c r="B20" s="68">
        <f t="shared" si="15"/>
        <v>30</v>
      </c>
      <c r="C20" s="179">
        <v>589.90858206947041</v>
      </c>
      <c r="D20" s="180">
        <v>157.72956739825409</v>
      </c>
      <c r="E20" s="181">
        <v>747.63814946772447</v>
      </c>
      <c r="F20" s="178">
        <v>30</v>
      </c>
      <c r="G20" s="158">
        <v>30</v>
      </c>
      <c r="H20" s="172">
        <v>0</v>
      </c>
      <c r="I20" s="61">
        <f>I16</f>
        <v>0</v>
      </c>
      <c r="J20" s="62">
        <f>'Diffuse Modifier (Numerical)'!$B$13</f>
        <v>0</v>
      </c>
      <c r="K20" s="63">
        <f t="shared" si="0"/>
        <v>0</v>
      </c>
      <c r="L20" s="48" t="e">
        <f t="shared" si="4"/>
        <v>#DIV/0!</v>
      </c>
      <c r="M20" s="49" t="e">
        <f t="shared" si="1"/>
        <v>#DIV/0!</v>
      </c>
      <c r="N20" s="49" t="e">
        <f t="shared" si="1"/>
        <v>#DIV/0!</v>
      </c>
      <c r="O20" s="49" t="e">
        <f t="shared" si="1"/>
        <v>#DIV/0!</v>
      </c>
      <c r="P20" s="50" t="e">
        <f t="shared" si="1"/>
        <v>#DIV/0!</v>
      </c>
      <c r="Q20" s="51" t="e">
        <f t="shared" si="5"/>
        <v>#DIV/0!</v>
      </c>
      <c r="R20" s="52" t="e">
        <f t="shared" si="6"/>
        <v>#DIV/0!</v>
      </c>
      <c r="S20" s="52" t="e">
        <f t="shared" si="7"/>
        <v>#DIV/0!</v>
      </c>
      <c r="T20" s="52" t="e">
        <f t="shared" si="8"/>
        <v>#DIV/0!</v>
      </c>
      <c r="U20" s="53" t="e">
        <f t="shared" si="9"/>
        <v>#DIV/0!</v>
      </c>
      <c r="V20" s="54" t="e">
        <f t="shared" si="10"/>
        <v>#DIV/0!</v>
      </c>
      <c r="W20" s="55" t="e">
        <f t="shared" si="11"/>
        <v>#DIV/0!</v>
      </c>
      <c r="X20" s="55" t="e">
        <f t="shared" si="12"/>
        <v>#DIV/0!</v>
      </c>
      <c r="Y20" s="55" t="e">
        <f t="shared" si="13"/>
        <v>#DIV/0!</v>
      </c>
      <c r="Z20" s="56" t="e">
        <f t="shared" si="14"/>
        <v>#DIV/0!</v>
      </c>
      <c r="AB20" s="60" t="s">
        <v>47</v>
      </c>
      <c r="AC20" s="103" t="e">
        <f>R24/1000</f>
        <v>#DIV/0!</v>
      </c>
      <c r="AD20" s="105" t="e">
        <f>W24/1000</f>
        <v>#DIV/0!</v>
      </c>
      <c r="AE20" s="104"/>
      <c r="AF20" s="104"/>
    </row>
    <row r="21" spans="1:32" ht="15" customHeight="1">
      <c r="A21" s="67">
        <v>15</v>
      </c>
      <c r="B21" s="68">
        <f t="shared" si="15"/>
        <v>45</v>
      </c>
      <c r="C21" s="179">
        <v>435.33360601918133</v>
      </c>
      <c r="D21" s="180">
        <v>126.1836539186033</v>
      </c>
      <c r="E21" s="181">
        <v>561.51725993778462</v>
      </c>
      <c r="F21" s="178">
        <v>45</v>
      </c>
      <c r="G21" s="158">
        <v>45</v>
      </c>
      <c r="H21" s="172">
        <v>0</v>
      </c>
      <c r="I21" s="61">
        <f>I15</f>
        <v>0</v>
      </c>
      <c r="J21" s="62">
        <f>'Diffuse Modifier (Numerical)'!$B$13</f>
        <v>0</v>
      </c>
      <c r="K21" s="63">
        <f t="shared" si="0"/>
        <v>0</v>
      </c>
      <c r="L21" s="48" t="e">
        <f t="shared" si="4"/>
        <v>#DIV/0!</v>
      </c>
      <c r="M21" s="49" t="e">
        <f t="shared" si="1"/>
        <v>#DIV/0!</v>
      </c>
      <c r="N21" s="49" t="e">
        <f t="shared" si="1"/>
        <v>#DIV/0!</v>
      </c>
      <c r="O21" s="49" t="e">
        <f t="shared" si="1"/>
        <v>#DIV/0!</v>
      </c>
      <c r="P21" s="50" t="e">
        <f t="shared" si="1"/>
        <v>#DIV/0!</v>
      </c>
      <c r="Q21" s="51" t="e">
        <f t="shared" si="5"/>
        <v>#DIV/0!</v>
      </c>
      <c r="R21" s="52" t="e">
        <f t="shared" si="6"/>
        <v>#DIV/0!</v>
      </c>
      <c r="S21" s="52" t="e">
        <f t="shared" si="7"/>
        <v>#DIV/0!</v>
      </c>
      <c r="T21" s="52" t="e">
        <f t="shared" si="8"/>
        <v>#DIV/0!</v>
      </c>
      <c r="U21" s="53" t="e">
        <f t="shared" si="9"/>
        <v>#DIV/0!</v>
      </c>
      <c r="V21" s="54" t="e">
        <f t="shared" si="10"/>
        <v>#DIV/0!</v>
      </c>
      <c r="W21" s="55" t="e">
        <f t="shared" si="11"/>
        <v>#DIV/0!</v>
      </c>
      <c r="X21" s="55" t="e">
        <f t="shared" si="12"/>
        <v>#DIV/0!</v>
      </c>
      <c r="Y21" s="55" t="e">
        <f t="shared" si="13"/>
        <v>#DIV/0!</v>
      </c>
      <c r="Z21" s="56" t="e">
        <f t="shared" si="14"/>
        <v>#DIV/0!</v>
      </c>
      <c r="AB21" s="60" t="s">
        <v>48</v>
      </c>
      <c r="AC21" s="103" t="e">
        <f>S24/1000</f>
        <v>#DIV/0!</v>
      </c>
      <c r="AD21" s="105" t="e">
        <f>X24/1000</f>
        <v>#DIV/0!</v>
      </c>
      <c r="AE21" s="104"/>
      <c r="AF21" s="104"/>
    </row>
    <row r="22" spans="1:32" ht="15" customHeight="1">
      <c r="A22" s="67">
        <v>16</v>
      </c>
      <c r="B22" s="68">
        <f t="shared" si="15"/>
        <v>60</v>
      </c>
      <c r="C22" s="179">
        <v>268.14026457703199</v>
      </c>
      <c r="D22" s="180">
        <v>91.483149090987382</v>
      </c>
      <c r="E22" s="181">
        <v>359.62341366801934</v>
      </c>
      <c r="F22" s="178">
        <v>60</v>
      </c>
      <c r="G22" s="158">
        <v>60</v>
      </c>
      <c r="H22" s="172">
        <v>0</v>
      </c>
      <c r="I22" s="61">
        <f>I14</f>
        <v>0</v>
      </c>
      <c r="J22" s="62">
        <f>'Diffuse Modifier (Numerical)'!$B$13</f>
        <v>0</v>
      </c>
      <c r="K22" s="63">
        <f t="shared" si="0"/>
        <v>0</v>
      </c>
      <c r="L22" s="48" t="e">
        <f t="shared" si="4"/>
        <v>#DIV/0!</v>
      </c>
      <c r="M22" s="49" t="e">
        <f t="shared" si="1"/>
        <v>#DIV/0!</v>
      </c>
      <c r="N22" s="49" t="e">
        <f t="shared" si="1"/>
        <v>#DIV/0!</v>
      </c>
      <c r="O22" s="49" t="e">
        <f t="shared" si="1"/>
        <v>#DIV/0!</v>
      </c>
      <c r="P22" s="50" t="e">
        <f t="shared" si="1"/>
        <v>#DIV/0!</v>
      </c>
      <c r="Q22" s="51" t="e">
        <f t="shared" si="5"/>
        <v>#DIV/0!</v>
      </c>
      <c r="R22" s="52" t="e">
        <f t="shared" si="6"/>
        <v>#DIV/0!</v>
      </c>
      <c r="S22" s="52" t="e">
        <f t="shared" si="7"/>
        <v>#DIV/0!</v>
      </c>
      <c r="T22" s="52" t="e">
        <f t="shared" si="8"/>
        <v>#DIV/0!</v>
      </c>
      <c r="U22" s="53" t="e">
        <f t="shared" si="9"/>
        <v>#DIV/0!</v>
      </c>
      <c r="V22" s="54" t="e">
        <f t="shared" si="10"/>
        <v>#DIV/0!</v>
      </c>
      <c r="W22" s="55" t="e">
        <f t="shared" si="11"/>
        <v>#DIV/0!</v>
      </c>
      <c r="X22" s="55" t="e">
        <f t="shared" si="12"/>
        <v>#DIV/0!</v>
      </c>
      <c r="Y22" s="55" t="e">
        <f t="shared" si="13"/>
        <v>#DIV/0!</v>
      </c>
      <c r="Z22" s="56" t="e">
        <f t="shared" si="14"/>
        <v>#DIV/0!</v>
      </c>
      <c r="AB22" s="60" t="s">
        <v>49</v>
      </c>
      <c r="AC22" s="103" t="e">
        <f>T24/1000</f>
        <v>#DIV/0!</v>
      </c>
      <c r="AD22" s="105" t="e">
        <f>Y24/1000</f>
        <v>#DIV/0!</v>
      </c>
      <c r="AE22" s="104"/>
      <c r="AF22" s="104"/>
    </row>
    <row r="23" spans="1:32" ht="15" customHeight="1">
      <c r="A23" s="67">
        <v>17</v>
      </c>
      <c r="B23" s="68">
        <f t="shared" si="15"/>
        <v>75</v>
      </c>
      <c r="C23" s="179">
        <v>116.71987987470804</v>
      </c>
      <c r="D23" s="180">
        <v>47.318870219476231</v>
      </c>
      <c r="E23" s="181">
        <v>164.03875009418428</v>
      </c>
      <c r="F23" s="178">
        <v>75</v>
      </c>
      <c r="G23" s="158">
        <v>75</v>
      </c>
      <c r="H23" s="172">
        <v>0</v>
      </c>
      <c r="I23" s="65">
        <f>I13</f>
        <v>0</v>
      </c>
      <c r="J23" s="66">
        <f>'Diffuse Modifier (Numerical)'!$B$13</f>
        <v>0</v>
      </c>
      <c r="K23" s="64">
        <f t="shared" si="0"/>
        <v>0</v>
      </c>
      <c r="L23" s="48" t="e">
        <f t="shared" si="4"/>
        <v>#DIV/0!</v>
      </c>
      <c r="M23" s="49" t="e">
        <f t="shared" si="1"/>
        <v>#DIV/0!</v>
      </c>
      <c r="N23" s="49" t="e">
        <f t="shared" si="1"/>
        <v>#DIV/0!</v>
      </c>
      <c r="O23" s="49" t="e">
        <f t="shared" si="1"/>
        <v>#DIV/0!</v>
      </c>
      <c r="P23" s="50" t="e">
        <f t="shared" si="1"/>
        <v>#DIV/0!</v>
      </c>
      <c r="Q23" s="51" t="e">
        <f t="shared" si="5"/>
        <v>#DIV/0!</v>
      </c>
      <c r="R23" s="52" t="e">
        <f t="shared" si="6"/>
        <v>#DIV/0!</v>
      </c>
      <c r="S23" s="52" t="e">
        <f t="shared" si="7"/>
        <v>#DIV/0!</v>
      </c>
      <c r="T23" s="52" t="e">
        <f t="shared" si="8"/>
        <v>#DIV/0!</v>
      </c>
      <c r="U23" s="53" t="e">
        <f t="shared" si="9"/>
        <v>#DIV/0!</v>
      </c>
      <c r="V23" s="54" t="e">
        <f t="shared" si="10"/>
        <v>#DIV/0!</v>
      </c>
      <c r="W23" s="55" t="e">
        <f t="shared" si="11"/>
        <v>#DIV/0!</v>
      </c>
      <c r="X23" s="55" t="e">
        <f t="shared" si="12"/>
        <v>#DIV/0!</v>
      </c>
      <c r="Y23" s="55" t="e">
        <f t="shared" si="13"/>
        <v>#DIV/0!</v>
      </c>
      <c r="Z23" s="56" t="e">
        <f t="shared" si="14"/>
        <v>#DIV/0!</v>
      </c>
      <c r="AB23" s="60" t="s">
        <v>50</v>
      </c>
      <c r="AC23" s="103" t="e">
        <f>U24/1000</f>
        <v>#DIV/0!</v>
      </c>
      <c r="AD23" s="105" t="e">
        <f>Z24/1000</f>
        <v>#DIV/0!</v>
      </c>
      <c r="AE23" s="104"/>
      <c r="AF23" s="104"/>
    </row>
    <row r="24" spans="1:32" ht="15" customHeight="1">
      <c r="A24" s="663" t="s">
        <v>54</v>
      </c>
      <c r="B24" s="664"/>
      <c r="C24" s="69">
        <f>SUM(C13:C23)</f>
        <v>4936.9354595653531</v>
      </c>
      <c r="D24" s="70">
        <f>SUM(D13:D23)</f>
        <v>1372.2472363648105</v>
      </c>
      <c r="E24" s="71">
        <f>SUM(E13:E23)</f>
        <v>6309.1826959301643</v>
      </c>
      <c r="F24" s="69"/>
      <c r="G24" s="70"/>
      <c r="H24" s="71"/>
      <c r="I24" s="72"/>
      <c r="J24" s="73"/>
      <c r="K24" s="74">
        <f t="shared" ref="K24" si="16">SUM(K13:K23)</f>
        <v>728.71060137993402</v>
      </c>
      <c r="L24" s="69"/>
      <c r="M24" s="70"/>
      <c r="N24" s="70"/>
      <c r="O24" s="70"/>
      <c r="P24" s="71"/>
      <c r="Q24" s="69" t="e">
        <f>SUM(Q13:Q23)</f>
        <v>#DIV/0!</v>
      </c>
      <c r="R24" s="70" t="e">
        <f t="shared" ref="R24:U24" si="17">SUM(R13:R23)</f>
        <v>#DIV/0!</v>
      </c>
      <c r="S24" s="70" t="e">
        <f t="shared" si="17"/>
        <v>#DIV/0!</v>
      </c>
      <c r="T24" s="70" t="e">
        <f t="shared" si="17"/>
        <v>#DIV/0!</v>
      </c>
      <c r="U24" s="71" t="e">
        <f t="shared" si="17"/>
        <v>#DIV/0!</v>
      </c>
      <c r="V24" s="69" t="e">
        <f>SUM(V13:V23)</f>
        <v>#DIV/0!</v>
      </c>
      <c r="W24" s="70" t="e">
        <f t="shared" ref="W24" si="18">SUM(W13:W23)</f>
        <v>#DIV/0!</v>
      </c>
      <c r="X24" s="70" t="e">
        <f t="shared" ref="X24" si="19">SUM(X13:X23)</f>
        <v>#DIV/0!</v>
      </c>
      <c r="Y24" s="70" t="e">
        <f t="shared" ref="Y24" si="20">SUM(Y13:Y23)</f>
        <v>#DIV/0!</v>
      </c>
      <c r="Z24" s="71" t="e">
        <f t="shared" ref="Z24" si="21">SUM(Z13:Z23)</f>
        <v>#DIV/0!</v>
      </c>
    </row>
    <row r="25" spans="1:32" ht="15" customHeight="1">
      <c r="A25" s="1"/>
      <c r="B25" s="1"/>
      <c r="C25" s="1"/>
      <c r="D25" s="1"/>
      <c r="E25" s="1"/>
      <c r="F25" s="1"/>
      <c r="G25" s="1"/>
      <c r="H25" s="1"/>
      <c r="P25" s="96" t="s">
        <v>43</v>
      </c>
      <c r="Q25" s="102" t="e">
        <f>Q24/$K24</f>
        <v>#DIV/0!</v>
      </c>
      <c r="R25" s="97" t="e">
        <f>R24/$K24</f>
        <v>#DIV/0!</v>
      </c>
      <c r="S25" s="97" t="e">
        <f>S24/$K24</f>
        <v>#DIV/0!</v>
      </c>
      <c r="T25" s="97" t="e">
        <f>T24/$K24</f>
        <v>#DIV/0!</v>
      </c>
      <c r="U25" s="262" t="e">
        <f>U24/$K24</f>
        <v>#DIV/0!</v>
      </c>
    </row>
    <row r="26" spans="1:32" s="58" customFormat="1" ht="15" customHeight="1">
      <c r="A26" s="1"/>
      <c r="B26" s="1"/>
      <c r="C26" s="1"/>
      <c r="D26" s="1"/>
      <c r="E26" s="1"/>
      <c r="F26" s="1"/>
      <c r="G26" s="1"/>
      <c r="H26" s="1"/>
      <c r="P26" s="46"/>
      <c r="Q26" s="47"/>
      <c r="R26" s="47"/>
      <c r="S26" s="47"/>
      <c r="T26" s="47"/>
      <c r="U26" s="47"/>
    </row>
    <row r="27" spans="1:32" ht="20.100000000000001" customHeight="1">
      <c r="A27" s="677" t="s">
        <v>2</v>
      </c>
      <c r="B27" s="678"/>
      <c r="C27" s="678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8"/>
      <c r="O27" s="678"/>
      <c r="P27" s="678"/>
      <c r="Q27" s="678"/>
      <c r="R27" s="678"/>
      <c r="S27" s="678"/>
      <c r="T27" s="678"/>
      <c r="U27" s="678"/>
      <c r="V27" s="678"/>
      <c r="W27" s="678"/>
      <c r="X27" s="678"/>
      <c r="Y27" s="678"/>
      <c r="Z27" s="679"/>
    </row>
    <row r="28" spans="1:32" ht="15" customHeight="1">
      <c r="A28" s="665" t="s">
        <v>1</v>
      </c>
      <c r="B28" s="667" t="s">
        <v>7</v>
      </c>
      <c r="C28" s="672" t="s">
        <v>5</v>
      </c>
      <c r="D28" s="673"/>
      <c r="E28" s="674"/>
      <c r="F28" s="672" t="s">
        <v>17</v>
      </c>
      <c r="G28" s="673"/>
      <c r="H28" s="674"/>
      <c r="I28" s="672" t="s">
        <v>55</v>
      </c>
      <c r="J28" s="674"/>
      <c r="K28" s="680" t="s">
        <v>129</v>
      </c>
      <c r="L28" s="672" t="s">
        <v>42</v>
      </c>
      <c r="M28" s="673"/>
      <c r="N28" s="673"/>
      <c r="O28" s="673"/>
      <c r="P28" s="700"/>
      <c r="Q28" s="672" t="s">
        <v>45</v>
      </c>
      <c r="R28" s="673"/>
      <c r="S28" s="673"/>
      <c r="T28" s="673"/>
      <c r="U28" s="674"/>
      <c r="V28" s="672" t="s">
        <v>44</v>
      </c>
      <c r="W28" s="673"/>
      <c r="X28" s="673"/>
      <c r="Y28" s="673"/>
      <c r="Z28" s="674"/>
    </row>
    <row r="29" spans="1:32" ht="50.1" customHeight="1">
      <c r="A29" s="666"/>
      <c r="B29" s="668"/>
      <c r="C29" s="683" t="s">
        <v>123</v>
      </c>
      <c r="D29" s="669" t="s">
        <v>124</v>
      </c>
      <c r="E29" s="684" t="s">
        <v>125</v>
      </c>
      <c r="F29" s="683" t="s">
        <v>126</v>
      </c>
      <c r="G29" s="669" t="s">
        <v>65</v>
      </c>
      <c r="H29" s="670" t="s">
        <v>127</v>
      </c>
      <c r="I29" s="675" t="s">
        <v>130</v>
      </c>
      <c r="J29" s="698" t="s">
        <v>18</v>
      </c>
      <c r="K29" s="681"/>
      <c r="L29" s="236" t="s">
        <v>145</v>
      </c>
      <c r="M29" s="75" t="s">
        <v>145</v>
      </c>
      <c r="N29" s="75" t="s">
        <v>145</v>
      </c>
      <c r="O29" s="75" t="s">
        <v>145</v>
      </c>
      <c r="P29" s="99" t="s">
        <v>145</v>
      </c>
      <c r="Q29" s="236" t="s">
        <v>145</v>
      </c>
      <c r="R29" s="75" t="s">
        <v>145</v>
      </c>
      <c r="S29" s="75" t="s">
        <v>145</v>
      </c>
      <c r="T29" s="75" t="s">
        <v>145</v>
      </c>
      <c r="U29" s="237" t="s">
        <v>145</v>
      </c>
      <c r="V29" s="236" t="s">
        <v>145</v>
      </c>
      <c r="W29" s="75" t="s">
        <v>145</v>
      </c>
      <c r="X29" s="75" t="s">
        <v>145</v>
      </c>
      <c r="Y29" s="75" t="s">
        <v>145</v>
      </c>
      <c r="Z29" s="237" t="s">
        <v>145</v>
      </c>
    </row>
    <row r="30" spans="1:32" s="45" customFormat="1" ht="15" customHeight="1">
      <c r="A30" s="666"/>
      <c r="B30" s="668"/>
      <c r="C30" s="683"/>
      <c r="D30" s="669"/>
      <c r="E30" s="684"/>
      <c r="F30" s="683"/>
      <c r="G30" s="669"/>
      <c r="H30" s="671"/>
      <c r="I30" s="675"/>
      <c r="J30" s="698"/>
      <c r="K30" s="682"/>
      <c r="L30" s="76">
        <v>-5</v>
      </c>
      <c r="M30" s="77">
        <v>5</v>
      </c>
      <c r="N30" s="77">
        <v>20</v>
      </c>
      <c r="O30" s="77">
        <v>50</v>
      </c>
      <c r="P30" s="100">
        <v>80</v>
      </c>
      <c r="Q30" s="76">
        <v>-5</v>
      </c>
      <c r="R30" s="77">
        <v>5</v>
      </c>
      <c r="S30" s="77">
        <v>20</v>
      </c>
      <c r="T30" s="77">
        <v>50</v>
      </c>
      <c r="U30" s="78">
        <v>80</v>
      </c>
      <c r="V30" s="76">
        <v>-5</v>
      </c>
      <c r="W30" s="77">
        <v>5</v>
      </c>
      <c r="X30" s="77">
        <v>20</v>
      </c>
      <c r="Y30" s="77">
        <v>50</v>
      </c>
      <c r="Z30" s="78">
        <v>80</v>
      </c>
    </row>
    <row r="31" spans="1:32" ht="15" customHeight="1">
      <c r="A31" s="79" t="s">
        <v>56</v>
      </c>
      <c r="B31" s="80" t="s">
        <v>8</v>
      </c>
      <c r="C31" s="251" t="s">
        <v>128</v>
      </c>
      <c r="D31" s="252" t="s">
        <v>128</v>
      </c>
      <c r="E31" s="253" t="s">
        <v>128</v>
      </c>
      <c r="F31" s="79" t="s">
        <v>8</v>
      </c>
      <c r="G31" s="81" t="s">
        <v>8</v>
      </c>
      <c r="H31" s="80" t="s">
        <v>8</v>
      </c>
      <c r="I31" s="676"/>
      <c r="J31" s="699"/>
      <c r="K31" s="264" t="s">
        <v>144</v>
      </c>
      <c r="L31" s="82" t="s">
        <v>43</v>
      </c>
      <c r="M31" s="83" t="s">
        <v>43</v>
      </c>
      <c r="N31" s="83" t="s">
        <v>43</v>
      </c>
      <c r="O31" s="83" t="s">
        <v>43</v>
      </c>
      <c r="P31" s="101" t="s">
        <v>43</v>
      </c>
      <c r="Q31" s="79" t="s">
        <v>142</v>
      </c>
      <c r="R31" s="81" t="s">
        <v>142</v>
      </c>
      <c r="S31" s="81" t="s">
        <v>142</v>
      </c>
      <c r="T31" s="81" t="s">
        <v>142</v>
      </c>
      <c r="U31" s="80" t="s">
        <v>142</v>
      </c>
      <c r="V31" s="79" t="s">
        <v>143</v>
      </c>
      <c r="W31" s="81" t="s">
        <v>143</v>
      </c>
      <c r="X31" s="81" t="s">
        <v>143</v>
      </c>
      <c r="Y31" s="81" t="s">
        <v>143</v>
      </c>
      <c r="Z31" s="80" t="s">
        <v>143</v>
      </c>
      <c r="AB31" s="696"/>
      <c r="AC31" s="701" t="s">
        <v>59</v>
      </c>
      <c r="AD31" s="702"/>
    </row>
    <row r="32" spans="1:32" ht="15" customHeight="1">
      <c r="A32" s="67">
        <v>7</v>
      </c>
      <c r="B32" s="68">
        <f t="shared" ref="B32:B42" si="22">(180/12)*(A32-6)</f>
        <v>15</v>
      </c>
      <c r="C32" s="94">
        <v>69.401009655231803</v>
      </c>
      <c r="D32" s="59">
        <v>50.473461567441312</v>
      </c>
      <c r="E32" s="95">
        <v>119.87447122267312</v>
      </c>
      <c r="F32" s="67">
        <v>75</v>
      </c>
      <c r="G32" s="39">
        <v>75</v>
      </c>
      <c r="H32" s="68">
        <v>0</v>
      </c>
      <c r="I32" s="112">
        <f t="shared" ref="I32:I42" si="23">I13</f>
        <v>0</v>
      </c>
      <c r="J32" s="113">
        <f>'Diffuse Modifier (Numerical)'!$B$13</f>
        <v>0</v>
      </c>
      <c r="K32" s="87">
        <f t="shared" ref="K32:K42" si="24">(C32*I32)+(D32*J32)</f>
        <v>0</v>
      </c>
      <c r="L32" s="88" t="e">
        <f>IF(($B$2-($B$3*(L$11/$K32))-($B$4*$K32*(L$11/$K32)^2)&lt;0),0,($B$2-$B$3*(L$11/$K32)-$B$4*$K32*(L$11/$K32)^2))</f>
        <v>#DIV/0!</v>
      </c>
      <c r="M32" s="89" t="e">
        <f t="shared" ref="M32:P42" si="25">IF(($B$2-($B$3*(M$11/$K32))-($B$4*$K32*(M$11/$K32)^2)&lt;0),0,($B$2-$B$3*(M$11/$K32)-$B$4*$K32*(M$11/$K32)^2))</f>
        <v>#DIV/0!</v>
      </c>
      <c r="N32" s="89" t="e">
        <f t="shared" si="25"/>
        <v>#DIV/0!</v>
      </c>
      <c r="O32" s="89" t="e">
        <f t="shared" si="25"/>
        <v>#DIV/0!</v>
      </c>
      <c r="P32" s="89" t="e">
        <f t="shared" si="25"/>
        <v>#DIV/0!</v>
      </c>
      <c r="Q32" s="91" t="e">
        <f>L32*$K32</f>
        <v>#DIV/0!</v>
      </c>
      <c r="R32" s="92" t="e">
        <f t="shared" ref="R32:R42" si="26">M32*$K32</f>
        <v>#DIV/0!</v>
      </c>
      <c r="S32" s="92" t="e">
        <f t="shared" ref="S32:S42" si="27">N32*$K32</f>
        <v>#DIV/0!</v>
      </c>
      <c r="T32" s="92" t="e">
        <f t="shared" ref="T32:T42" si="28">O32*$K32</f>
        <v>#DIV/0!</v>
      </c>
      <c r="U32" s="93" t="e">
        <f t="shared" ref="U32:U42" si="29">P32*$K32</f>
        <v>#DIV/0!</v>
      </c>
      <c r="V32" s="94" t="e">
        <f>Q32*$B$6</f>
        <v>#DIV/0!</v>
      </c>
      <c r="W32" s="59" t="e">
        <f t="shared" ref="W32:W42" si="30">R32*$B$6</f>
        <v>#DIV/0!</v>
      </c>
      <c r="X32" s="59" t="e">
        <f t="shared" ref="X32:X42" si="31">S32*$B$6</f>
        <v>#DIV/0!</v>
      </c>
      <c r="Y32" s="59" t="e">
        <f t="shared" ref="Y32:Y42" si="32">T32*$B$6</f>
        <v>#DIV/0!</v>
      </c>
      <c r="Z32" s="95" t="e">
        <f t="shared" ref="Z32:Z42" si="33">U32*$B$6</f>
        <v>#DIV/0!</v>
      </c>
      <c r="AB32" s="696"/>
      <c r="AC32" s="703"/>
      <c r="AD32" s="704"/>
    </row>
    <row r="33" spans="1:30" ht="15" customHeight="1">
      <c r="A33" s="67">
        <v>8</v>
      </c>
      <c r="B33" s="68">
        <f t="shared" si="22"/>
        <v>30</v>
      </c>
      <c r="C33" s="94">
        <v>170.34793279011444</v>
      </c>
      <c r="D33" s="59">
        <v>97.792331786917558</v>
      </c>
      <c r="E33" s="95">
        <v>268.14026457703199</v>
      </c>
      <c r="F33" s="67">
        <v>60</v>
      </c>
      <c r="G33" s="39">
        <v>60</v>
      </c>
      <c r="H33" s="68">
        <v>0</v>
      </c>
      <c r="I33" s="61">
        <f t="shared" si="23"/>
        <v>0</v>
      </c>
      <c r="J33" s="86">
        <f>'Diffuse Modifier (Numerical)'!$B$13</f>
        <v>0</v>
      </c>
      <c r="K33" s="63">
        <f t="shared" si="24"/>
        <v>0</v>
      </c>
      <c r="L33" s="48" t="e">
        <f t="shared" ref="L33:L42" si="34">IF(($B$2-($B$3*(L$11/$K33))-($B$4*$K33*(L$11/$K33)^2)&lt;0),0,($B$2-$B$3*(L$11/$K33)-$B$4*$K33*(L$11/$K33)^2))</f>
        <v>#DIV/0!</v>
      </c>
      <c r="M33" s="49" t="e">
        <f t="shared" si="25"/>
        <v>#DIV/0!</v>
      </c>
      <c r="N33" s="49" t="e">
        <f t="shared" si="25"/>
        <v>#DIV/0!</v>
      </c>
      <c r="O33" s="49" t="e">
        <f t="shared" si="25"/>
        <v>#DIV/0!</v>
      </c>
      <c r="P33" s="49" t="e">
        <f t="shared" si="25"/>
        <v>#DIV/0!</v>
      </c>
      <c r="Q33" s="51" t="e">
        <f t="shared" ref="Q33:Q42" si="35">L33*$K33</f>
        <v>#DIV/0!</v>
      </c>
      <c r="R33" s="52" t="e">
        <f t="shared" si="26"/>
        <v>#DIV/0!</v>
      </c>
      <c r="S33" s="52" t="e">
        <f t="shared" si="27"/>
        <v>#DIV/0!</v>
      </c>
      <c r="T33" s="52" t="e">
        <f t="shared" si="28"/>
        <v>#DIV/0!</v>
      </c>
      <c r="U33" s="53" t="e">
        <f t="shared" si="29"/>
        <v>#DIV/0!</v>
      </c>
      <c r="V33" s="54" t="e">
        <f t="shared" ref="V33:V42" si="36">Q33*$B$6</f>
        <v>#DIV/0!</v>
      </c>
      <c r="W33" s="55" t="e">
        <f t="shared" si="30"/>
        <v>#DIV/0!</v>
      </c>
      <c r="X33" s="55" t="e">
        <f t="shared" si="31"/>
        <v>#DIV/0!</v>
      </c>
      <c r="Y33" s="55" t="e">
        <f t="shared" si="32"/>
        <v>#DIV/0!</v>
      </c>
      <c r="Z33" s="56" t="e">
        <f t="shared" si="33"/>
        <v>#DIV/0!</v>
      </c>
      <c r="AB33" s="696"/>
      <c r="AC33" s="692" t="s">
        <v>51</v>
      </c>
      <c r="AD33" s="693"/>
    </row>
    <row r="34" spans="1:30" ht="15" customHeight="1">
      <c r="A34" s="67">
        <v>9</v>
      </c>
      <c r="B34" s="68">
        <f t="shared" si="22"/>
        <v>45</v>
      </c>
      <c r="C34" s="94">
        <v>283.9132213168574</v>
      </c>
      <c r="D34" s="59">
        <v>138.80201931046361</v>
      </c>
      <c r="E34" s="95">
        <v>422.71524062732101</v>
      </c>
      <c r="F34" s="67">
        <v>45</v>
      </c>
      <c r="G34" s="39">
        <v>45</v>
      </c>
      <c r="H34" s="68">
        <v>0</v>
      </c>
      <c r="I34" s="61">
        <f t="shared" si="23"/>
        <v>0</v>
      </c>
      <c r="J34" s="86">
        <f>'Diffuse Modifier (Numerical)'!$B$13</f>
        <v>0</v>
      </c>
      <c r="K34" s="63">
        <f t="shared" si="24"/>
        <v>0</v>
      </c>
      <c r="L34" s="48" t="e">
        <f t="shared" si="34"/>
        <v>#DIV/0!</v>
      </c>
      <c r="M34" s="49" t="e">
        <f t="shared" si="25"/>
        <v>#DIV/0!</v>
      </c>
      <c r="N34" s="49" t="e">
        <f t="shared" si="25"/>
        <v>#DIV/0!</v>
      </c>
      <c r="O34" s="49" t="e">
        <f t="shared" si="25"/>
        <v>#DIV/0!</v>
      </c>
      <c r="P34" s="49" t="e">
        <f t="shared" si="25"/>
        <v>#DIV/0!</v>
      </c>
      <c r="Q34" s="51" t="e">
        <f t="shared" si="35"/>
        <v>#DIV/0!</v>
      </c>
      <c r="R34" s="52" t="e">
        <f t="shared" si="26"/>
        <v>#DIV/0!</v>
      </c>
      <c r="S34" s="52" t="e">
        <f t="shared" si="27"/>
        <v>#DIV/0!</v>
      </c>
      <c r="T34" s="52" t="e">
        <f t="shared" si="28"/>
        <v>#DIV/0!</v>
      </c>
      <c r="U34" s="53" t="e">
        <f t="shared" si="29"/>
        <v>#DIV/0!</v>
      </c>
      <c r="V34" s="54" t="e">
        <f t="shared" si="36"/>
        <v>#DIV/0!</v>
      </c>
      <c r="W34" s="55" t="e">
        <f t="shared" si="30"/>
        <v>#DIV/0!</v>
      </c>
      <c r="X34" s="55" t="e">
        <f t="shared" si="31"/>
        <v>#DIV/0!</v>
      </c>
      <c r="Y34" s="55" t="e">
        <f t="shared" si="32"/>
        <v>#DIV/0!</v>
      </c>
      <c r="Z34" s="56" t="e">
        <f t="shared" si="33"/>
        <v>#DIV/0!</v>
      </c>
      <c r="AB34" s="696"/>
      <c r="AC34" s="694"/>
      <c r="AD34" s="695"/>
    </row>
    <row r="35" spans="1:30" ht="15" customHeight="1">
      <c r="A35" s="67">
        <v>10</v>
      </c>
      <c r="B35" s="68">
        <f t="shared" si="22"/>
        <v>60</v>
      </c>
      <c r="C35" s="94">
        <v>388.01473579970508</v>
      </c>
      <c r="D35" s="59">
        <v>170.34793279011444</v>
      </c>
      <c r="E35" s="95">
        <v>558.36266858981946</v>
      </c>
      <c r="F35" s="67">
        <v>30</v>
      </c>
      <c r="G35" s="39">
        <v>30</v>
      </c>
      <c r="H35" s="68">
        <v>0</v>
      </c>
      <c r="I35" s="61">
        <f t="shared" si="23"/>
        <v>0</v>
      </c>
      <c r="J35" s="86">
        <f>'Diffuse Modifier (Numerical)'!$B$13</f>
        <v>0</v>
      </c>
      <c r="K35" s="63">
        <f t="shared" si="24"/>
        <v>0</v>
      </c>
      <c r="L35" s="48" t="e">
        <f t="shared" si="34"/>
        <v>#DIV/0!</v>
      </c>
      <c r="M35" s="49" t="e">
        <f t="shared" si="25"/>
        <v>#DIV/0!</v>
      </c>
      <c r="N35" s="49" t="e">
        <f t="shared" si="25"/>
        <v>#DIV/0!</v>
      </c>
      <c r="O35" s="49" t="e">
        <f t="shared" si="25"/>
        <v>#DIV/0!</v>
      </c>
      <c r="P35" s="49" t="e">
        <f t="shared" si="25"/>
        <v>#DIV/0!</v>
      </c>
      <c r="Q35" s="51" t="e">
        <f t="shared" si="35"/>
        <v>#DIV/0!</v>
      </c>
      <c r="R35" s="52" t="e">
        <f t="shared" si="26"/>
        <v>#DIV/0!</v>
      </c>
      <c r="S35" s="52" t="e">
        <f t="shared" si="27"/>
        <v>#DIV/0!</v>
      </c>
      <c r="T35" s="52" t="e">
        <f t="shared" si="28"/>
        <v>#DIV/0!</v>
      </c>
      <c r="U35" s="53" t="e">
        <f t="shared" si="29"/>
        <v>#DIV/0!</v>
      </c>
      <c r="V35" s="54" t="e">
        <f t="shared" si="36"/>
        <v>#DIV/0!</v>
      </c>
      <c r="W35" s="55" t="e">
        <f t="shared" si="30"/>
        <v>#DIV/0!</v>
      </c>
      <c r="X35" s="55" t="e">
        <f t="shared" si="31"/>
        <v>#DIV/0!</v>
      </c>
      <c r="Y35" s="55" t="e">
        <f t="shared" si="32"/>
        <v>#DIV/0!</v>
      </c>
      <c r="Z35" s="56" t="e">
        <f t="shared" si="33"/>
        <v>#DIV/0!</v>
      </c>
      <c r="AB35" s="696"/>
      <c r="AC35" s="690" t="s">
        <v>147</v>
      </c>
      <c r="AD35" s="691"/>
    </row>
    <row r="36" spans="1:30" ht="15" customHeight="1">
      <c r="A36" s="67">
        <v>11</v>
      </c>
      <c r="B36" s="68">
        <f t="shared" si="22"/>
        <v>75</v>
      </c>
      <c r="C36" s="94">
        <v>460.57033680290198</v>
      </c>
      <c r="D36" s="59">
        <v>192.43007222587002</v>
      </c>
      <c r="E36" s="95">
        <v>653.00040902877208</v>
      </c>
      <c r="F36" s="67">
        <v>15</v>
      </c>
      <c r="G36" s="39">
        <v>15</v>
      </c>
      <c r="H36" s="68">
        <v>0</v>
      </c>
      <c r="I36" s="61">
        <f t="shared" si="23"/>
        <v>0</v>
      </c>
      <c r="J36" s="86">
        <f>'Diffuse Modifier (Numerical)'!$B$13</f>
        <v>0</v>
      </c>
      <c r="K36" s="63">
        <f t="shared" si="24"/>
        <v>0</v>
      </c>
      <c r="L36" s="48" t="e">
        <f t="shared" si="34"/>
        <v>#DIV/0!</v>
      </c>
      <c r="M36" s="49" t="e">
        <f t="shared" si="25"/>
        <v>#DIV/0!</v>
      </c>
      <c r="N36" s="49" t="e">
        <f t="shared" si="25"/>
        <v>#DIV/0!</v>
      </c>
      <c r="O36" s="49" t="e">
        <f t="shared" si="25"/>
        <v>#DIV/0!</v>
      </c>
      <c r="P36" s="49" t="e">
        <f t="shared" si="25"/>
        <v>#DIV/0!</v>
      </c>
      <c r="Q36" s="51" t="e">
        <f t="shared" si="35"/>
        <v>#DIV/0!</v>
      </c>
      <c r="R36" s="52" t="e">
        <f t="shared" si="26"/>
        <v>#DIV/0!</v>
      </c>
      <c r="S36" s="52" t="e">
        <f t="shared" si="27"/>
        <v>#DIV/0!</v>
      </c>
      <c r="T36" s="52" t="e">
        <f t="shared" si="28"/>
        <v>#DIV/0!</v>
      </c>
      <c r="U36" s="53" t="e">
        <f t="shared" si="29"/>
        <v>#DIV/0!</v>
      </c>
      <c r="V36" s="54" t="e">
        <f t="shared" si="36"/>
        <v>#DIV/0!</v>
      </c>
      <c r="W36" s="55" t="e">
        <f t="shared" si="30"/>
        <v>#DIV/0!</v>
      </c>
      <c r="X36" s="55" t="e">
        <f t="shared" si="31"/>
        <v>#DIV/0!</v>
      </c>
      <c r="Y36" s="55" t="e">
        <f t="shared" si="32"/>
        <v>#DIV/0!</v>
      </c>
      <c r="Z36" s="56" t="e">
        <f t="shared" si="33"/>
        <v>#DIV/0!</v>
      </c>
      <c r="AB36" s="696"/>
      <c r="AC36" s="108" t="s">
        <v>148</v>
      </c>
      <c r="AD36" s="109" t="s">
        <v>52</v>
      </c>
    </row>
    <row r="37" spans="1:30" ht="15" customHeight="1">
      <c r="A37" s="67">
        <v>12</v>
      </c>
      <c r="B37" s="68">
        <f t="shared" si="22"/>
        <v>90</v>
      </c>
      <c r="C37" s="94">
        <v>488.96165893458772</v>
      </c>
      <c r="D37" s="59">
        <v>198.73925492180015</v>
      </c>
      <c r="E37" s="95">
        <v>687.70091385638784</v>
      </c>
      <c r="F37" s="67">
        <v>0</v>
      </c>
      <c r="G37" s="39">
        <v>0</v>
      </c>
      <c r="H37" s="68">
        <v>0</v>
      </c>
      <c r="I37" s="61">
        <f t="shared" si="23"/>
        <v>1</v>
      </c>
      <c r="J37" s="86">
        <f>'Diffuse Modifier (Numerical)'!$B$13</f>
        <v>0</v>
      </c>
      <c r="K37" s="63">
        <f t="shared" si="24"/>
        <v>488.96165893458772</v>
      </c>
      <c r="L37" s="48">
        <f t="shared" si="34"/>
        <v>0</v>
      </c>
      <c r="M37" s="49">
        <f t="shared" si="25"/>
        <v>0</v>
      </c>
      <c r="N37" s="49">
        <f t="shared" si="25"/>
        <v>0</v>
      </c>
      <c r="O37" s="49">
        <f t="shared" si="25"/>
        <v>0</v>
      </c>
      <c r="P37" s="49">
        <f t="shared" si="25"/>
        <v>0</v>
      </c>
      <c r="Q37" s="51">
        <f t="shared" si="35"/>
        <v>0</v>
      </c>
      <c r="R37" s="52">
        <f t="shared" si="26"/>
        <v>0</v>
      </c>
      <c r="S37" s="52">
        <f t="shared" si="27"/>
        <v>0</v>
      </c>
      <c r="T37" s="52">
        <f t="shared" si="28"/>
        <v>0</v>
      </c>
      <c r="U37" s="53">
        <f t="shared" si="29"/>
        <v>0</v>
      </c>
      <c r="V37" s="54">
        <f t="shared" si="36"/>
        <v>0</v>
      </c>
      <c r="W37" s="55">
        <f t="shared" si="30"/>
        <v>0</v>
      </c>
      <c r="X37" s="55">
        <f t="shared" si="31"/>
        <v>0</v>
      </c>
      <c r="Y37" s="55">
        <f t="shared" si="32"/>
        <v>0</v>
      </c>
      <c r="Z37" s="56">
        <f t="shared" si="33"/>
        <v>0</v>
      </c>
      <c r="AB37" s="697"/>
      <c r="AC37" s="110" t="s">
        <v>149</v>
      </c>
      <c r="AD37" s="111" t="s">
        <v>150</v>
      </c>
    </row>
    <row r="38" spans="1:30" ht="15" customHeight="1">
      <c r="A38" s="67">
        <v>13</v>
      </c>
      <c r="B38" s="68">
        <f t="shared" si="22"/>
        <v>105</v>
      </c>
      <c r="C38" s="94">
        <v>460.57033680290198</v>
      </c>
      <c r="D38" s="59">
        <v>192.43007222587002</v>
      </c>
      <c r="E38" s="95">
        <v>653.00040902877208</v>
      </c>
      <c r="F38" s="67">
        <v>15</v>
      </c>
      <c r="G38" s="39">
        <v>15</v>
      </c>
      <c r="H38" s="68">
        <v>0</v>
      </c>
      <c r="I38" s="61">
        <f t="shared" si="23"/>
        <v>0</v>
      </c>
      <c r="J38" s="86">
        <f>'Diffuse Modifier (Numerical)'!$B$13</f>
        <v>0</v>
      </c>
      <c r="K38" s="63">
        <f t="shared" si="24"/>
        <v>0</v>
      </c>
      <c r="L38" s="48" t="e">
        <f t="shared" si="34"/>
        <v>#DIV/0!</v>
      </c>
      <c r="M38" s="49" t="e">
        <f t="shared" si="25"/>
        <v>#DIV/0!</v>
      </c>
      <c r="N38" s="49" t="e">
        <f t="shared" si="25"/>
        <v>#DIV/0!</v>
      </c>
      <c r="O38" s="49" t="e">
        <f t="shared" si="25"/>
        <v>#DIV/0!</v>
      </c>
      <c r="P38" s="49" t="e">
        <f t="shared" si="25"/>
        <v>#DIV/0!</v>
      </c>
      <c r="Q38" s="51" t="e">
        <f t="shared" si="35"/>
        <v>#DIV/0!</v>
      </c>
      <c r="R38" s="52" t="e">
        <f t="shared" si="26"/>
        <v>#DIV/0!</v>
      </c>
      <c r="S38" s="52" t="e">
        <f t="shared" si="27"/>
        <v>#DIV/0!</v>
      </c>
      <c r="T38" s="52" t="e">
        <f t="shared" si="28"/>
        <v>#DIV/0!</v>
      </c>
      <c r="U38" s="53" t="e">
        <f t="shared" si="29"/>
        <v>#DIV/0!</v>
      </c>
      <c r="V38" s="54" t="e">
        <f t="shared" si="36"/>
        <v>#DIV/0!</v>
      </c>
      <c r="W38" s="55" t="e">
        <f t="shared" si="30"/>
        <v>#DIV/0!</v>
      </c>
      <c r="X38" s="55" t="e">
        <f t="shared" si="31"/>
        <v>#DIV/0!</v>
      </c>
      <c r="Y38" s="55" t="e">
        <f t="shared" si="32"/>
        <v>#DIV/0!</v>
      </c>
      <c r="Z38" s="56" t="e">
        <f t="shared" si="33"/>
        <v>#DIV/0!</v>
      </c>
      <c r="AB38" s="60" t="s">
        <v>46</v>
      </c>
      <c r="AC38" s="106" t="e">
        <f>Q43/1000</f>
        <v>#DIV/0!</v>
      </c>
      <c r="AD38" s="107" t="e">
        <f>V43/1000</f>
        <v>#DIV/0!</v>
      </c>
    </row>
    <row r="39" spans="1:30" ht="15" customHeight="1">
      <c r="A39" s="67">
        <v>14</v>
      </c>
      <c r="B39" s="68">
        <f t="shared" si="22"/>
        <v>120</v>
      </c>
      <c r="C39" s="94">
        <v>388.01473579970508</v>
      </c>
      <c r="D39" s="59">
        <v>170.34793279011444</v>
      </c>
      <c r="E39" s="95">
        <v>558.36266858981946</v>
      </c>
      <c r="F39" s="67">
        <v>30</v>
      </c>
      <c r="G39" s="39">
        <v>30</v>
      </c>
      <c r="H39" s="68">
        <v>0</v>
      </c>
      <c r="I39" s="61">
        <f t="shared" si="23"/>
        <v>0</v>
      </c>
      <c r="J39" s="86">
        <f>'Diffuse Modifier (Numerical)'!$B$13</f>
        <v>0</v>
      </c>
      <c r="K39" s="63">
        <f t="shared" si="24"/>
        <v>0</v>
      </c>
      <c r="L39" s="48" t="e">
        <f t="shared" si="34"/>
        <v>#DIV/0!</v>
      </c>
      <c r="M39" s="49" t="e">
        <f t="shared" si="25"/>
        <v>#DIV/0!</v>
      </c>
      <c r="N39" s="49" t="e">
        <f t="shared" si="25"/>
        <v>#DIV/0!</v>
      </c>
      <c r="O39" s="49" t="e">
        <f t="shared" si="25"/>
        <v>#DIV/0!</v>
      </c>
      <c r="P39" s="49" t="e">
        <f t="shared" si="25"/>
        <v>#DIV/0!</v>
      </c>
      <c r="Q39" s="51" t="e">
        <f t="shared" si="35"/>
        <v>#DIV/0!</v>
      </c>
      <c r="R39" s="52" t="e">
        <f t="shared" si="26"/>
        <v>#DIV/0!</v>
      </c>
      <c r="S39" s="52" t="e">
        <f t="shared" si="27"/>
        <v>#DIV/0!</v>
      </c>
      <c r="T39" s="52" t="e">
        <f t="shared" si="28"/>
        <v>#DIV/0!</v>
      </c>
      <c r="U39" s="53" t="e">
        <f t="shared" si="29"/>
        <v>#DIV/0!</v>
      </c>
      <c r="V39" s="54" t="e">
        <f t="shared" si="36"/>
        <v>#DIV/0!</v>
      </c>
      <c r="W39" s="55" t="e">
        <f t="shared" si="30"/>
        <v>#DIV/0!</v>
      </c>
      <c r="X39" s="55" t="e">
        <f t="shared" si="31"/>
        <v>#DIV/0!</v>
      </c>
      <c r="Y39" s="55" t="e">
        <f t="shared" si="32"/>
        <v>#DIV/0!</v>
      </c>
      <c r="Z39" s="56" t="e">
        <f t="shared" si="33"/>
        <v>#DIV/0!</v>
      </c>
      <c r="AB39" s="60" t="s">
        <v>47</v>
      </c>
      <c r="AC39" s="103" t="e">
        <f>R43/1000</f>
        <v>#DIV/0!</v>
      </c>
      <c r="AD39" s="105" t="e">
        <f>W43/1000</f>
        <v>#DIV/0!</v>
      </c>
    </row>
    <row r="40" spans="1:30" ht="15" customHeight="1">
      <c r="A40" s="67">
        <v>15</v>
      </c>
      <c r="B40" s="68">
        <f t="shared" si="22"/>
        <v>135</v>
      </c>
      <c r="C40" s="94">
        <v>283.9132213168574</v>
      </c>
      <c r="D40" s="59">
        <v>138.80201931046361</v>
      </c>
      <c r="E40" s="95">
        <v>422.71524062732101</v>
      </c>
      <c r="F40" s="67">
        <v>45</v>
      </c>
      <c r="G40" s="39">
        <v>45</v>
      </c>
      <c r="H40" s="68">
        <v>0</v>
      </c>
      <c r="I40" s="61">
        <f t="shared" si="23"/>
        <v>0</v>
      </c>
      <c r="J40" s="86">
        <f>'Diffuse Modifier (Numerical)'!$B$13</f>
        <v>0</v>
      </c>
      <c r="K40" s="63">
        <f t="shared" si="24"/>
        <v>0</v>
      </c>
      <c r="L40" s="48" t="e">
        <f t="shared" si="34"/>
        <v>#DIV/0!</v>
      </c>
      <c r="M40" s="49" t="e">
        <f t="shared" si="25"/>
        <v>#DIV/0!</v>
      </c>
      <c r="N40" s="49" t="e">
        <f t="shared" si="25"/>
        <v>#DIV/0!</v>
      </c>
      <c r="O40" s="49" t="e">
        <f t="shared" si="25"/>
        <v>#DIV/0!</v>
      </c>
      <c r="P40" s="49" t="e">
        <f t="shared" si="25"/>
        <v>#DIV/0!</v>
      </c>
      <c r="Q40" s="51" t="e">
        <f t="shared" si="35"/>
        <v>#DIV/0!</v>
      </c>
      <c r="R40" s="52" t="e">
        <f t="shared" si="26"/>
        <v>#DIV/0!</v>
      </c>
      <c r="S40" s="52" t="e">
        <f t="shared" si="27"/>
        <v>#DIV/0!</v>
      </c>
      <c r="T40" s="52" t="e">
        <f t="shared" si="28"/>
        <v>#DIV/0!</v>
      </c>
      <c r="U40" s="53" t="e">
        <f t="shared" si="29"/>
        <v>#DIV/0!</v>
      </c>
      <c r="V40" s="54" t="e">
        <f t="shared" si="36"/>
        <v>#DIV/0!</v>
      </c>
      <c r="W40" s="55" t="e">
        <f t="shared" si="30"/>
        <v>#DIV/0!</v>
      </c>
      <c r="X40" s="55" t="e">
        <f t="shared" si="31"/>
        <v>#DIV/0!</v>
      </c>
      <c r="Y40" s="55" t="e">
        <f t="shared" si="32"/>
        <v>#DIV/0!</v>
      </c>
      <c r="Z40" s="56" t="e">
        <f t="shared" si="33"/>
        <v>#DIV/0!</v>
      </c>
      <c r="AB40" s="60" t="s">
        <v>48</v>
      </c>
      <c r="AC40" s="103" t="e">
        <f>S43/1000</f>
        <v>#DIV/0!</v>
      </c>
      <c r="AD40" s="105" t="e">
        <f>X43/1000</f>
        <v>#DIV/0!</v>
      </c>
    </row>
    <row r="41" spans="1:30" ht="15" customHeight="1">
      <c r="A41" s="67">
        <v>16</v>
      </c>
      <c r="B41" s="68">
        <f t="shared" si="22"/>
        <v>150</v>
      </c>
      <c r="C41" s="94">
        <v>170.34793279011444</v>
      </c>
      <c r="D41" s="59">
        <v>97.792331786917558</v>
      </c>
      <c r="E41" s="95">
        <v>268.14026457703199</v>
      </c>
      <c r="F41" s="67">
        <v>60</v>
      </c>
      <c r="G41" s="39">
        <v>60</v>
      </c>
      <c r="H41" s="68">
        <v>0</v>
      </c>
      <c r="I41" s="61">
        <f t="shared" si="23"/>
        <v>0</v>
      </c>
      <c r="J41" s="86">
        <f>'Diffuse Modifier (Numerical)'!$B$13</f>
        <v>0</v>
      </c>
      <c r="K41" s="63">
        <f t="shared" si="24"/>
        <v>0</v>
      </c>
      <c r="L41" s="48" t="e">
        <f t="shared" si="34"/>
        <v>#DIV/0!</v>
      </c>
      <c r="M41" s="49" t="e">
        <f t="shared" si="25"/>
        <v>#DIV/0!</v>
      </c>
      <c r="N41" s="49" t="e">
        <f t="shared" si="25"/>
        <v>#DIV/0!</v>
      </c>
      <c r="O41" s="49" t="e">
        <f t="shared" si="25"/>
        <v>#DIV/0!</v>
      </c>
      <c r="P41" s="49" t="e">
        <f t="shared" si="25"/>
        <v>#DIV/0!</v>
      </c>
      <c r="Q41" s="51" t="e">
        <f t="shared" si="35"/>
        <v>#DIV/0!</v>
      </c>
      <c r="R41" s="52" t="e">
        <f t="shared" si="26"/>
        <v>#DIV/0!</v>
      </c>
      <c r="S41" s="52" t="e">
        <f t="shared" si="27"/>
        <v>#DIV/0!</v>
      </c>
      <c r="T41" s="52" t="e">
        <f t="shared" si="28"/>
        <v>#DIV/0!</v>
      </c>
      <c r="U41" s="53" t="e">
        <f t="shared" si="29"/>
        <v>#DIV/0!</v>
      </c>
      <c r="V41" s="54" t="e">
        <f t="shared" si="36"/>
        <v>#DIV/0!</v>
      </c>
      <c r="W41" s="55" t="e">
        <f t="shared" si="30"/>
        <v>#DIV/0!</v>
      </c>
      <c r="X41" s="55" t="e">
        <f t="shared" si="31"/>
        <v>#DIV/0!</v>
      </c>
      <c r="Y41" s="55" t="e">
        <f t="shared" si="32"/>
        <v>#DIV/0!</v>
      </c>
      <c r="Z41" s="56" t="e">
        <f t="shared" si="33"/>
        <v>#DIV/0!</v>
      </c>
      <c r="AB41" s="60" t="s">
        <v>49</v>
      </c>
      <c r="AC41" s="103" t="e">
        <f>T43/1000</f>
        <v>#DIV/0!</v>
      </c>
      <c r="AD41" s="105" t="e">
        <f>Y43/1000</f>
        <v>#DIV/0!</v>
      </c>
    </row>
    <row r="42" spans="1:30" ht="15" customHeight="1">
      <c r="A42" s="67">
        <v>17</v>
      </c>
      <c r="B42" s="68">
        <f t="shared" si="22"/>
        <v>165</v>
      </c>
      <c r="C42" s="94">
        <v>69.401009655231803</v>
      </c>
      <c r="D42" s="59">
        <v>50.473461567441312</v>
      </c>
      <c r="E42" s="95">
        <v>119.87447122267312</v>
      </c>
      <c r="F42" s="67">
        <v>75</v>
      </c>
      <c r="G42" s="39">
        <v>75</v>
      </c>
      <c r="H42" s="68">
        <v>0</v>
      </c>
      <c r="I42" s="65">
        <f t="shared" si="23"/>
        <v>0</v>
      </c>
      <c r="J42" s="114">
        <f>'Diffuse Modifier (Numerical)'!$B$13</f>
        <v>0</v>
      </c>
      <c r="K42" s="64">
        <f t="shared" si="24"/>
        <v>0</v>
      </c>
      <c r="L42" s="48" t="e">
        <f t="shared" si="34"/>
        <v>#DIV/0!</v>
      </c>
      <c r="M42" s="49" t="e">
        <f t="shared" si="25"/>
        <v>#DIV/0!</v>
      </c>
      <c r="N42" s="49" t="e">
        <f t="shared" si="25"/>
        <v>#DIV/0!</v>
      </c>
      <c r="O42" s="49" t="e">
        <f t="shared" si="25"/>
        <v>#DIV/0!</v>
      </c>
      <c r="P42" s="49" t="e">
        <f t="shared" si="25"/>
        <v>#DIV/0!</v>
      </c>
      <c r="Q42" s="51" t="e">
        <f t="shared" si="35"/>
        <v>#DIV/0!</v>
      </c>
      <c r="R42" s="52" t="e">
        <f t="shared" si="26"/>
        <v>#DIV/0!</v>
      </c>
      <c r="S42" s="52" t="e">
        <f t="shared" si="27"/>
        <v>#DIV/0!</v>
      </c>
      <c r="T42" s="52" t="e">
        <f t="shared" si="28"/>
        <v>#DIV/0!</v>
      </c>
      <c r="U42" s="53" t="e">
        <f t="shared" si="29"/>
        <v>#DIV/0!</v>
      </c>
      <c r="V42" s="54" t="e">
        <f t="shared" si="36"/>
        <v>#DIV/0!</v>
      </c>
      <c r="W42" s="55" t="e">
        <f t="shared" si="30"/>
        <v>#DIV/0!</v>
      </c>
      <c r="X42" s="55" t="e">
        <f t="shared" si="31"/>
        <v>#DIV/0!</v>
      </c>
      <c r="Y42" s="55" t="e">
        <f t="shared" si="32"/>
        <v>#DIV/0!</v>
      </c>
      <c r="Z42" s="56" t="e">
        <f t="shared" si="33"/>
        <v>#DIV/0!</v>
      </c>
      <c r="AB42" s="60" t="s">
        <v>50</v>
      </c>
      <c r="AC42" s="103" t="e">
        <f>U43/1000</f>
        <v>#DIV/0!</v>
      </c>
      <c r="AD42" s="105" t="e">
        <f>Z43/1000</f>
        <v>#DIV/0!</v>
      </c>
    </row>
    <row r="43" spans="1:30" ht="15" customHeight="1">
      <c r="A43" s="663" t="s">
        <v>54</v>
      </c>
      <c r="B43" s="664"/>
      <c r="C43" s="69">
        <f>SUM(C32:C42)</f>
        <v>3233.4561316642094</v>
      </c>
      <c r="D43" s="70">
        <f>SUM(D32:D42)</f>
        <v>1498.4308902834139</v>
      </c>
      <c r="E43" s="71">
        <f>SUM(E32:E42)</f>
        <v>4731.8870219476239</v>
      </c>
      <c r="F43" s="69"/>
      <c r="G43" s="70"/>
      <c r="H43" s="71"/>
      <c r="I43" s="72"/>
      <c r="J43" s="73"/>
      <c r="K43" s="74">
        <f t="shared" ref="K43" si="37">SUM(K32:K42)</f>
        <v>488.96165893458772</v>
      </c>
      <c r="L43" s="69"/>
      <c r="M43" s="70"/>
      <c r="N43" s="70"/>
      <c r="O43" s="70"/>
      <c r="P43" s="70"/>
      <c r="Q43" s="69" t="e">
        <f>SUM(Q32:Q42)</f>
        <v>#DIV/0!</v>
      </c>
      <c r="R43" s="70" t="e">
        <f t="shared" ref="R43:U43" si="38">SUM(R32:R42)</f>
        <v>#DIV/0!</v>
      </c>
      <c r="S43" s="70" t="e">
        <f t="shared" si="38"/>
        <v>#DIV/0!</v>
      </c>
      <c r="T43" s="70" t="e">
        <f t="shared" si="38"/>
        <v>#DIV/0!</v>
      </c>
      <c r="U43" s="71" t="e">
        <f t="shared" si="38"/>
        <v>#DIV/0!</v>
      </c>
      <c r="V43" s="69" t="e">
        <f>SUM(V32:V42)</f>
        <v>#DIV/0!</v>
      </c>
      <c r="W43" s="70" t="e">
        <f t="shared" ref="W43:Z43" si="39">SUM(W32:W42)</f>
        <v>#DIV/0!</v>
      </c>
      <c r="X43" s="70" t="e">
        <f t="shared" si="39"/>
        <v>#DIV/0!</v>
      </c>
      <c r="Y43" s="70" t="e">
        <f t="shared" si="39"/>
        <v>#DIV/0!</v>
      </c>
      <c r="Z43" s="71" t="e">
        <f t="shared" si="39"/>
        <v>#DIV/0!</v>
      </c>
    </row>
    <row r="44" spans="1:30" ht="15" customHeight="1">
      <c r="L44" s="58"/>
      <c r="M44" s="58"/>
      <c r="N44" s="58"/>
      <c r="O44" s="58"/>
      <c r="P44" s="96" t="s">
        <v>43</v>
      </c>
      <c r="Q44" s="102" t="e">
        <f>Q43/$K43</f>
        <v>#DIV/0!</v>
      </c>
      <c r="R44" s="97" t="e">
        <f>R43/$K43</f>
        <v>#DIV/0!</v>
      </c>
      <c r="S44" s="97" t="e">
        <f>S43/$K43</f>
        <v>#DIV/0!</v>
      </c>
      <c r="T44" s="97" t="e">
        <f>T43/$K43</f>
        <v>#DIV/0!</v>
      </c>
      <c r="U44" s="98" t="e">
        <f>U43/$K43</f>
        <v>#DIV/0!</v>
      </c>
      <c r="V44" s="58"/>
      <c r="W44" s="58"/>
      <c r="X44" s="58"/>
      <c r="Y44" s="58"/>
      <c r="Z44" s="58"/>
    </row>
    <row r="45" spans="1:30" s="58" customFormat="1" ht="15" customHeight="1">
      <c r="P45" s="46"/>
      <c r="Q45" s="47"/>
      <c r="R45" s="47"/>
      <c r="S45" s="47"/>
      <c r="T45" s="47"/>
      <c r="U45" s="47"/>
    </row>
    <row r="46" spans="1:30" ht="20.100000000000001" customHeight="1">
      <c r="A46" s="677" t="s">
        <v>0</v>
      </c>
      <c r="B46" s="678"/>
      <c r="C46" s="678"/>
      <c r="D46" s="678"/>
      <c r="E46" s="678"/>
      <c r="F46" s="678"/>
      <c r="G46" s="678"/>
      <c r="H46" s="678"/>
      <c r="I46" s="678"/>
      <c r="J46" s="678"/>
      <c r="K46" s="678"/>
      <c r="L46" s="678"/>
      <c r="M46" s="678"/>
      <c r="N46" s="678"/>
      <c r="O46" s="678"/>
      <c r="P46" s="678"/>
      <c r="Q46" s="678"/>
      <c r="R46" s="678"/>
      <c r="S46" s="678"/>
      <c r="T46" s="678"/>
      <c r="U46" s="678"/>
      <c r="V46" s="678"/>
      <c r="W46" s="678"/>
      <c r="X46" s="678"/>
      <c r="Y46" s="678"/>
      <c r="Z46" s="679"/>
    </row>
    <row r="47" spans="1:30" ht="15" customHeight="1">
      <c r="A47" s="665"/>
      <c r="B47" s="667" t="s">
        <v>7</v>
      </c>
      <c r="C47" s="672" t="s">
        <v>5</v>
      </c>
      <c r="D47" s="673"/>
      <c r="E47" s="674"/>
      <c r="F47" s="672" t="s">
        <v>17</v>
      </c>
      <c r="G47" s="673"/>
      <c r="H47" s="674"/>
      <c r="I47" s="672" t="s">
        <v>55</v>
      </c>
      <c r="J47" s="674"/>
      <c r="K47" s="680" t="s">
        <v>129</v>
      </c>
      <c r="L47" s="672" t="s">
        <v>42</v>
      </c>
      <c r="M47" s="673"/>
      <c r="N47" s="673"/>
      <c r="O47" s="673"/>
      <c r="P47" s="674"/>
      <c r="Q47" s="672" t="s">
        <v>45</v>
      </c>
      <c r="R47" s="673"/>
      <c r="S47" s="673"/>
      <c r="T47" s="673"/>
      <c r="U47" s="674"/>
      <c r="V47" s="672" t="s">
        <v>44</v>
      </c>
      <c r="W47" s="673"/>
      <c r="X47" s="673"/>
      <c r="Y47" s="673"/>
      <c r="Z47" s="674"/>
    </row>
    <row r="48" spans="1:30" ht="50.1" customHeight="1">
      <c r="A48" s="666" t="s">
        <v>1</v>
      </c>
      <c r="B48" s="668"/>
      <c r="C48" s="683" t="s">
        <v>123</v>
      </c>
      <c r="D48" s="669" t="s">
        <v>124</v>
      </c>
      <c r="E48" s="684" t="s">
        <v>125</v>
      </c>
      <c r="F48" s="683" t="s">
        <v>126</v>
      </c>
      <c r="G48" s="669" t="s">
        <v>65</v>
      </c>
      <c r="H48" s="670" t="s">
        <v>127</v>
      </c>
      <c r="I48" s="675" t="s">
        <v>130</v>
      </c>
      <c r="J48" s="698" t="s">
        <v>18</v>
      </c>
      <c r="K48" s="681"/>
      <c r="L48" s="236" t="s">
        <v>145</v>
      </c>
      <c r="M48" s="75" t="s">
        <v>145</v>
      </c>
      <c r="N48" s="75" t="s">
        <v>145</v>
      </c>
      <c r="O48" s="75" t="s">
        <v>145</v>
      </c>
      <c r="P48" s="237" t="s">
        <v>145</v>
      </c>
      <c r="Q48" s="236" t="s">
        <v>145</v>
      </c>
      <c r="R48" s="75" t="s">
        <v>145</v>
      </c>
      <c r="S48" s="75" t="s">
        <v>145</v>
      </c>
      <c r="T48" s="75" t="s">
        <v>145</v>
      </c>
      <c r="U48" s="237" t="s">
        <v>145</v>
      </c>
      <c r="V48" s="236" t="s">
        <v>145</v>
      </c>
      <c r="W48" s="75" t="s">
        <v>145</v>
      </c>
      <c r="X48" s="75" t="s">
        <v>145</v>
      </c>
      <c r="Y48" s="75" t="s">
        <v>145</v>
      </c>
      <c r="Z48" s="237" t="s">
        <v>145</v>
      </c>
    </row>
    <row r="49" spans="1:30" s="45" customFormat="1" ht="15" customHeight="1">
      <c r="A49" s="666"/>
      <c r="B49" s="668"/>
      <c r="C49" s="683"/>
      <c r="D49" s="669"/>
      <c r="E49" s="684"/>
      <c r="F49" s="683"/>
      <c r="G49" s="669"/>
      <c r="H49" s="671"/>
      <c r="I49" s="675"/>
      <c r="J49" s="698"/>
      <c r="K49" s="682"/>
      <c r="L49" s="76">
        <v>-5</v>
      </c>
      <c r="M49" s="77">
        <v>5</v>
      </c>
      <c r="N49" s="77">
        <v>20</v>
      </c>
      <c r="O49" s="77">
        <v>50</v>
      </c>
      <c r="P49" s="78">
        <v>80</v>
      </c>
      <c r="Q49" s="76">
        <v>-5</v>
      </c>
      <c r="R49" s="77">
        <v>5</v>
      </c>
      <c r="S49" s="77">
        <v>20</v>
      </c>
      <c r="T49" s="77">
        <v>50</v>
      </c>
      <c r="U49" s="78">
        <v>80</v>
      </c>
      <c r="V49" s="76">
        <v>-5</v>
      </c>
      <c r="W49" s="77">
        <v>5</v>
      </c>
      <c r="X49" s="77">
        <v>20</v>
      </c>
      <c r="Y49" s="77">
        <v>50</v>
      </c>
      <c r="Z49" s="78">
        <v>80</v>
      </c>
    </row>
    <row r="50" spans="1:30" ht="15" customHeight="1">
      <c r="A50" s="79"/>
      <c r="B50" s="80" t="s">
        <v>8</v>
      </c>
      <c r="C50" s="251" t="s">
        <v>128</v>
      </c>
      <c r="D50" s="252" t="s">
        <v>128</v>
      </c>
      <c r="E50" s="253" t="s">
        <v>128</v>
      </c>
      <c r="F50" s="79" t="s">
        <v>8</v>
      </c>
      <c r="G50" s="81" t="s">
        <v>8</v>
      </c>
      <c r="H50" s="80" t="s">
        <v>8</v>
      </c>
      <c r="I50" s="676"/>
      <c r="J50" s="699"/>
      <c r="K50" s="264" t="s">
        <v>144</v>
      </c>
      <c r="L50" s="82" t="s">
        <v>43</v>
      </c>
      <c r="M50" s="83" t="s">
        <v>43</v>
      </c>
      <c r="N50" s="83" t="s">
        <v>43</v>
      </c>
      <c r="O50" s="83" t="s">
        <v>43</v>
      </c>
      <c r="P50" s="84" t="s">
        <v>43</v>
      </c>
      <c r="Q50" s="79" t="s">
        <v>142</v>
      </c>
      <c r="R50" s="81" t="s">
        <v>142</v>
      </c>
      <c r="S50" s="81" t="s">
        <v>142</v>
      </c>
      <c r="T50" s="81" t="s">
        <v>142</v>
      </c>
      <c r="U50" s="80" t="s">
        <v>142</v>
      </c>
      <c r="V50" s="79" t="s">
        <v>143</v>
      </c>
      <c r="W50" s="81" t="s">
        <v>143</v>
      </c>
      <c r="X50" s="81" t="s">
        <v>143</v>
      </c>
      <c r="Y50" s="81" t="s">
        <v>143</v>
      </c>
      <c r="Z50" s="80" t="s">
        <v>143</v>
      </c>
      <c r="AB50" s="696"/>
      <c r="AC50" s="686" t="s">
        <v>58</v>
      </c>
      <c r="AD50" s="687"/>
    </row>
    <row r="51" spans="1:30" ht="15" customHeight="1">
      <c r="A51" s="67">
        <v>7</v>
      </c>
      <c r="B51" s="68">
        <f t="shared" ref="B51:B61" si="40">(180/12)*(A51-6)</f>
        <v>15</v>
      </c>
      <c r="C51" s="94">
        <v>28.391322131685737</v>
      </c>
      <c r="D51" s="59">
        <v>50.473461567441312</v>
      </c>
      <c r="E51" s="95">
        <v>78.864783699127045</v>
      </c>
      <c r="F51" s="67">
        <v>75</v>
      </c>
      <c r="G51" s="39">
        <v>75</v>
      </c>
      <c r="H51" s="68">
        <v>0</v>
      </c>
      <c r="I51" s="85">
        <f>I13</f>
        <v>0</v>
      </c>
      <c r="J51" s="86">
        <f>'Diffuse Modifier (Numerical)'!$B$13</f>
        <v>0</v>
      </c>
      <c r="K51" s="87">
        <f t="shared" ref="K51:K61" si="41">(C51*I51)+(D51*J51)</f>
        <v>0</v>
      </c>
      <c r="L51" s="88" t="e">
        <f>IF(($B$2-($B$3*(L$11/$K51))-($B$4*$K51*(L$11/$K51)^2)&lt;0),0,($B$2-$B$3*(L$11/$K51)-$B$4*$K51*(L$11/$K51)^2))</f>
        <v>#DIV/0!</v>
      </c>
      <c r="M51" s="89" t="e">
        <f t="shared" ref="M51:P61" si="42">IF(($B$2-($B$3*(M$11/$K51))-($B$4*$K51*(M$11/$K51)^2)&lt;0),0,($B$2-$B$3*(M$11/$K51)-$B$4*$K51*(M$11/$K51)^2))</f>
        <v>#DIV/0!</v>
      </c>
      <c r="N51" s="89" t="e">
        <f t="shared" si="42"/>
        <v>#DIV/0!</v>
      </c>
      <c r="O51" s="89" t="e">
        <f t="shared" si="42"/>
        <v>#DIV/0!</v>
      </c>
      <c r="P51" s="90" t="e">
        <f t="shared" si="42"/>
        <v>#DIV/0!</v>
      </c>
      <c r="Q51" s="91" t="e">
        <f>L51*$K51</f>
        <v>#DIV/0!</v>
      </c>
      <c r="R51" s="92" t="e">
        <f t="shared" ref="R51:R61" si="43">M51*$K51</f>
        <v>#DIV/0!</v>
      </c>
      <c r="S51" s="92" t="e">
        <f t="shared" ref="S51:S61" si="44">N51*$K51</f>
        <v>#DIV/0!</v>
      </c>
      <c r="T51" s="92" t="e">
        <f t="shared" ref="T51:T61" si="45">O51*$K51</f>
        <v>#DIV/0!</v>
      </c>
      <c r="U51" s="93" t="e">
        <f t="shared" ref="U51:U61" si="46">P51*$K51</f>
        <v>#DIV/0!</v>
      </c>
      <c r="V51" s="94" t="e">
        <f>Q51*$B$6</f>
        <v>#DIV/0!</v>
      </c>
      <c r="W51" s="59" t="e">
        <f t="shared" ref="W51:W61" si="47">R51*$B$6</f>
        <v>#DIV/0!</v>
      </c>
      <c r="X51" s="59" t="e">
        <f t="shared" ref="X51:X61" si="48">S51*$B$6</f>
        <v>#DIV/0!</v>
      </c>
      <c r="Y51" s="59" t="e">
        <f t="shared" ref="Y51:Y61" si="49">T51*$B$6</f>
        <v>#DIV/0!</v>
      </c>
      <c r="Z51" s="95" t="e">
        <f t="shared" ref="Z51:Z61" si="50">U51*$B$6</f>
        <v>#DIV/0!</v>
      </c>
      <c r="AB51" s="696"/>
      <c r="AC51" s="688"/>
      <c r="AD51" s="689"/>
    </row>
    <row r="52" spans="1:30" ht="15" customHeight="1">
      <c r="A52" s="67">
        <v>8</v>
      </c>
      <c r="B52" s="68">
        <f t="shared" si="40"/>
        <v>30</v>
      </c>
      <c r="C52" s="94">
        <v>78.864783699127045</v>
      </c>
      <c r="D52" s="59">
        <v>97.792331786917558</v>
      </c>
      <c r="E52" s="95">
        <v>176.6571154860446</v>
      </c>
      <c r="F52" s="67">
        <v>60</v>
      </c>
      <c r="G52" s="39">
        <v>60</v>
      </c>
      <c r="H52" s="68">
        <v>0</v>
      </c>
      <c r="I52" s="61">
        <f t="shared" ref="I52:I61" si="51">I14</f>
        <v>0</v>
      </c>
      <c r="J52" s="62">
        <f>'Diffuse Modifier (Numerical)'!$B$13</f>
        <v>0</v>
      </c>
      <c r="K52" s="63">
        <f t="shared" si="41"/>
        <v>0</v>
      </c>
      <c r="L52" s="48" t="e">
        <f t="shared" ref="L52:L61" si="52">IF(($B$2-($B$3*(L$11/$K52))-($B$4*$K52*(L$11/$K52)^2)&lt;0),0,($B$2-$B$3*(L$11/$K52)-$B$4*$K52*(L$11/$K52)^2))</f>
        <v>#DIV/0!</v>
      </c>
      <c r="M52" s="49" t="e">
        <f t="shared" si="42"/>
        <v>#DIV/0!</v>
      </c>
      <c r="N52" s="49" t="e">
        <f t="shared" si="42"/>
        <v>#DIV/0!</v>
      </c>
      <c r="O52" s="49" t="e">
        <f t="shared" si="42"/>
        <v>#DIV/0!</v>
      </c>
      <c r="P52" s="50" t="e">
        <f t="shared" si="42"/>
        <v>#DIV/0!</v>
      </c>
      <c r="Q52" s="51" t="e">
        <f t="shared" ref="Q52:Q61" si="53">L52*$K52</f>
        <v>#DIV/0!</v>
      </c>
      <c r="R52" s="52" t="e">
        <f t="shared" si="43"/>
        <v>#DIV/0!</v>
      </c>
      <c r="S52" s="52" t="e">
        <f t="shared" si="44"/>
        <v>#DIV/0!</v>
      </c>
      <c r="T52" s="52" t="e">
        <f t="shared" si="45"/>
        <v>#DIV/0!</v>
      </c>
      <c r="U52" s="53" t="e">
        <f t="shared" si="46"/>
        <v>#DIV/0!</v>
      </c>
      <c r="V52" s="54" t="e">
        <f t="shared" ref="V52:V61" si="54">Q52*$B$6</f>
        <v>#DIV/0!</v>
      </c>
      <c r="W52" s="55" t="e">
        <f t="shared" si="47"/>
        <v>#DIV/0!</v>
      </c>
      <c r="X52" s="55" t="e">
        <f t="shared" si="48"/>
        <v>#DIV/0!</v>
      </c>
      <c r="Y52" s="55" t="e">
        <f t="shared" si="49"/>
        <v>#DIV/0!</v>
      </c>
      <c r="Z52" s="56" t="e">
        <f t="shared" si="50"/>
        <v>#DIV/0!</v>
      </c>
      <c r="AB52" s="696"/>
      <c r="AC52" s="692" t="s">
        <v>51</v>
      </c>
      <c r="AD52" s="693"/>
    </row>
    <row r="53" spans="1:30" ht="15" customHeight="1">
      <c r="A53" s="67">
        <v>9</v>
      </c>
      <c r="B53" s="68">
        <f t="shared" si="40"/>
        <v>45</v>
      </c>
      <c r="C53" s="94">
        <v>141.9566106584287</v>
      </c>
      <c r="D53" s="59">
        <v>138.80201931046361</v>
      </c>
      <c r="E53" s="95">
        <v>280.75862996889231</v>
      </c>
      <c r="F53" s="67">
        <v>45</v>
      </c>
      <c r="G53" s="39">
        <v>45</v>
      </c>
      <c r="H53" s="68">
        <v>0</v>
      </c>
      <c r="I53" s="61">
        <f t="shared" si="51"/>
        <v>0</v>
      </c>
      <c r="J53" s="62">
        <f>'Diffuse Modifier (Numerical)'!$B$13</f>
        <v>0</v>
      </c>
      <c r="K53" s="63">
        <f t="shared" si="41"/>
        <v>0</v>
      </c>
      <c r="L53" s="48" t="e">
        <f t="shared" si="52"/>
        <v>#DIV/0!</v>
      </c>
      <c r="M53" s="49" t="e">
        <f t="shared" si="42"/>
        <v>#DIV/0!</v>
      </c>
      <c r="N53" s="49" t="e">
        <f t="shared" si="42"/>
        <v>#DIV/0!</v>
      </c>
      <c r="O53" s="49" t="e">
        <f t="shared" si="42"/>
        <v>#DIV/0!</v>
      </c>
      <c r="P53" s="50" t="e">
        <f t="shared" si="42"/>
        <v>#DIV/0!</v>
      </c>
      <c r="Q53" s="51" t="e">
        <f t="shared" si="53"/>
        <v>#DIV/0!</v>
      </c>
      <c r="R53" s="52" t="e">
        <f t="shared" si="43"/>
        <v>#DIV/0!</v>
      </c>
      <c r="S53" s="52" t="e">
        <f t="shared" si="44"/>
        <v>#DIV/0!</v>
      </c>
      <c r="T53" s="52" t="e">
        <f t="shared" si="45"/>
        <v>#DIV/0!</v>
      </c>
      <c r="U53" s="53" t="e">
        <f t="shared" si="46"/>
        <v>#DIV/0!</v>
      </c>
      <c r="V53" s="54" t="e">
        <f t="shared" si="54"/>
        <v>#DIV/0!</v>
      </c>
      <c r="W53" s="55" t="e">
        <f t="shared" si="47"/>
        <v>#DIV/0!</v>
      </c>
      <c r="X53" s="55" t="e">
        <f t="shared" si="48"/>
        <v>#DIV/0!</v>
      </c>
      <c r="Y53" s="55" t="e">
        <f t="shared" si="49"/>
        <v>#DIV/0!</v>
      </c>
      <c r="Z53" s="56" t="e">
        <f t="shared" si="50"/>
        <v>#DIV/0!</v>
      </c>
      <c r="AB53" s="696"/>
      <c r="AC53" s="694"/>
      <c r="AD53" s="695"/>
    </row>
    <row r="54" spans="1:30" ht="15" customHeight="1">
      <c r="A54" s="67">
        <v>10</v>
      </c>
      <c r="B54" s="68">
        <f t="shared" si="40"/>
        <v>60</v>
      </c>
      <c r="C54" s="94">
        <v>201.89384626976525</v>
      </c>
      <c r="D54" s="59">
        <v>170.34793279011444</v>
      </c>
      <c r="E54" s="95">
        <v>372.24177905987972</v>
      </c>
      <c r="F54" s="67">
        <v>30</v>
      </c>
      <c r="G54" s="39">
        <v>30</v>
      </c>
      <c r="H54" s="68">
        <v>0</v>
      </c>
      <c r="I54" s="61">
        <f t="shared" si="51"/>
        <v>0</v>
      </c>
      <c r="J54" s="62">
        <f>'Diffuse Modifier (Numerical)'!$B$13</f>
        <v>0</v>
      </c>
      <c r="K54" s="63">
        <f t="shared" si="41"/>
        <v>0</v>
      </c>
      <c r="L54" s="48" t="e">
        <f t="shared" si="52"/>
        <v>#DIV/0!</v>
      </c>
      <c r="M54" s="49" t="e">
        <f t="shared" si="42"/>
        <v>#DIV/0!</v>
      </c>
      <c r="N54" s="49" t="e">
        <f t="shared" si="42"/>
        <v>#DIV/0!</v>
      </c>
      <c r="O54" s="49" t="e">
        <f t="shared" si="42"/>
        <v>#DIV/0!</v>
      </c>
      <c r="P54" s="50" t="e">
        <f t="shared" si="42"/>
        <v>#DIV/0!</v>
      </c>
      <c r="Q54" s="51" t="e">
        <f t="shared" si="53"/>
        <v>#DIV/0!</v>
      </c>
      <c r="R54" s="52" t="e">
        <f t="shared" si="43"/>
        <v>#DIV/0!</v>
      </c>
      <c r="S54" s="52" t="e">
        <f t="shared" si="44"/>
        <v>#DIV/0!</v>
      </c>
      <c r="T54" s="52" t="e">
        <f t="shared" si="45"/>
        <v>#DIV/0!</v>
      </c>
      <c r="U54" s="53" t="e">
        <f t="shared" si="46"/>
        <v>#DIV/0!</v>
      </c>
      <c r="V54" s="54" t="e">
        <f t="shared" si="54"/>
        <v>#DIV/0!</v>
      </c>
      <c r="W54" s="55" t="e">
        <f t="shared" si="47"/>
        <v>#DIV/0!</v>
      </c>
      <c r="X54" s="55" t="e">
        <f t="shared" si="48"/>
        <v>#DIV/0!</v>
      </c>
      <c r="Y54" s="55" t="e">
        <f t="shared" si="49"/>
        <v>#DIV/0!</v>
      </c>
      <c r="Z54" s="56" t="e">
        <f t="shared" si="50"/>
        <v>#DIV/0!</v>
      </c>
      <c r="AB54" s="696"/>
      <c r="AC54" s="690" t="s">
        <v>147</v>
      </c>
      <c r="AD54" s="691"/>
    </row>
    <row r="55" spans="1:30" ht="15" customHeight="1">
      <c r="A55" s="67">
        <v>11</v>
      </c>
      <c r="B55" s="68">
        <f t="shared" si="40"/>
        <v>75</v>
      </c>
      <c r="C55" s="94">
        <v>249.2127164892415</v>
      </c>
      <c r="D55" s="59">
        <v>189.27548087790493</v>
      </c>
      <c r="E55" s="95">
        <v>438.48819736714643</v>
      </c>
      <c r="F55" s="67">
        <v>15</v>
      </c>
      <c r="G55" s="39">
        <v>15</v>
      </c>
      <c r="H55" s="68">
        <v>0</v>
      </c>
      <c r="I55" s="61">
        <f t="shared" si="51"/>
        <v>0</v>
      </c>
      <c r="J55" s="62">
        <f>'Diffuse Modifier (Numerical)'!$B$13</f>
        <v>0</v>
      </c>
      <c r="K55" s="63">
        <f t="shared" si="41"/>
        <v>0</v>
      </c>
      <c r="L55" s="48" t="e">
        <f t="shared" si="52"/>
        <v>#DIV/0!</v>
      </c>
      <c r="M55" s="49" t="e">
        <f t="shared" si="42"/>
        <v>#DIV/0!</v>
      </c>
      <c r="N55" s="49" t="e">
        <f t="shared" si="42"/>
        <v>#DIV/0!</v>
      </c>
      <c r="O55" s="49" t="e">
        <f t="shared" si="42"/>
        <v>#DIV/0!</v>
      </c>
      <c r="P55" s="50" t="e">
        <f t="shared" si="42"/>
        <v>#DIV/0!</v>
      </c>
      <c r="Q55" s="51" t="e">
        <f t="shared" si="53"/>
        <v>#DIV/0!</v>
      </c>
      <c r="R55" s="52" t="e">
        <f t="shared" si="43"/>
        <v>#DIV/0!</v>
      </c>
      <c r="S55" s="52" t="e">
        <f t="shared" si="44"/>
        <v>#DIV/0!</v>
      </c>
      <c r="T55" s="52" t="e">
        <f t="shared" si="45"/>
        <v>#DIV/0!</v>
      </c>
      <c r="U55" s="53" t="e">
        <f t="shared" si="46"/>
        <v>#DIV/0!</v>
      </c>
      <c r="V55" s="54" t="e">
        <f t="shared" si="54"/>
        <v>#DIV/0!</v>
      </c>
      <c r="W55" s="55" t="e">
        <f t="shared" si="47"/>
        <v>#DIV/0!</v>
      </c>
      <c r="X55" s="55" t="e">
        <f t="shared" si="48"/>
        <v>#DIV/0!</v>
      </c>
      <c r="Y55" s="55" t="e">
        <f t="shared" si="49"/>
        <v>#DIV/0!</v>
      </c>
      <c r="Z55" s="56" t="e">
        <f t="shared" si="50"/>
        <v>#DIV/0!</v>
      </c>
      <c r="AB55" s="696"/>
      <c r="AC55" s="108" t="s">
        <v>148</v>
      </c>
      <c r="AD55" s="109" t="s">
        <v>52</v>
      </c>
    </row>
    <row r="56" spans="1:30" ht="15" customHeight="1">
      <c r="A56" s="67">
        <v>12</v>
      </c>
      <c r="B56" s="68">
        <f t="shared" si="40"/>
        <v>90</v>
      </c>
      <c r="C56" s="94">
        <v>264.98567322906689</v>
      </c>
      <c r="D56" s="59">
        <v>195.58466357383512</v>
      </c>
      <c r="E56" s="95">
        <v>460.57033680290198</v>
      </c>
      <c r="F56" s="67">
        <v>0</v>
      </c>
      <c r="G56" s="39">
        <v>0</v>
      </c>
      <c r="H56" s="68">
        <v>0</v>
      </c>
      <c r="I56" s="61">
        <f t="shared" si="51"/>
        <v>1</v>
      </c>
      <c r="J56" s="62">
        <f>'Diffuse Modifier (Numerical)'!$B$13</f>
        <v>0</v>
      </c>
      <c r="K56" s="63">
        <f t="shared" si="41"/>
        <v>264.98567322906689</v>
      </c>
      <c r="L56" s="48">
        <f t="shared" si="52"/>
        <v>0</v>
      </c>
      <c r="M56" s="49">
        <f t="shared" si="42"/>
        <v>0</v>
      </c>
      <c r="N56" s="49">
        <f t="shared" si="42"/>
        <v>0</v>
      </c>
      <c r="O56" s="49">
        <f t="shared" si="42"/>
        <v>0</v>
      </c>
      <c r="P56" s="50">
        <f t="shared" si="42"/>
        <v>0</v>
      </c>
      <c r="Q56" s="51">
        <f t="shared" si="53"/>
        <v>0</v>
      </c>
      <c r="R56" s="52">
        <f t="shared" si="43"/>
        <v>0</v>
      </c>
      <c r="S56" s="52">
        <f t="shared" si="44"/>
        <v>0</v>
      </c>
      <c r="T56" s="52">
        <f t="shared" si="45"/>
        <v>0</v>
      </c>
      <c r="U56" s="53">
        <f t="shared" si="46"/>
        <v>0</v>
      </c>
      <c r="V56" s="54">
        <f t="shared" si="54"/>
        <v>0</v>
      </c>
      <c r="W56" s="55">
        <f t="shared" si="47"/>
        <v>0</v>
      </c>
      <c r="X56" s="55">
        <f t="shared" si="48"/>
        <v>0</v>
      </c>
      <c r="Y56" s="55">
        <f t="shared" si="49"/>
        <v>0</v>
      </c>
      <c r="Z56" s="56">
        <f t="shared" si="50"/>
        <v>0</v>
      </c>
      <c r="AB56" s="697"/>
      <c r="AC56" s="110" t="s">
        <v>149</v>
      </c>
      <c r="AD56" s="111" t="s">
        <v>150</v>
      </c>
    </row>
    <row r="57" spans="1:30" ht="15" customHeight="1">
      <c r="A57" s="67">
        <v>13</v>
      </c>
      <c r="B57" s="68">
        <f t="shared" si="40"/>
        <v>105</v>
      </c>
      <c r="C57" s="94">
        <v>249.2127164892415</v>
      </c>
      <c r="D57" s="59">
        <v>189.27548087790493</v>
      </c>
      <c r="E57" s="95">
        <v>438.48819736714643</v>
      </c>
      <c r="F57" s="67">
        <v>15</v>
      </c>
      <c r="G57" s="39">
        <v>15</v>
      </c>
      <c r="H57" s="68">
        <v>0</v>
      </c>
      <c r="I57" s="61">
        <f t="shared" si="51"/>
        <v>0</v>
      </c>
      <c r="J57" s="62">
        <f>'Diffuse Modifier (Numerical)'!$B$13</f>
        <v>0</v>
      </c>
      <c r="K57" s="63">
        <f t="shared" si="41"/>
        <v>0</v>
      </c>
      <c r="L57" s="48" t="e">
        <f t="shared" si="52"/>
        <v>#DIV/0!</v>
      </c>
      <c r="M57" s="49" t="e">
        <f t="shared" si="42"/>
        <v>#DIV/0!</v>
      </c>
      <c r="N57" s="49" t="e">
        <f t="shared" si="42"/>
        <v>#DIV/0!</v>
      </c>
      <c r="O57" s="49" t="e">
        <f t="shared" si="42"/>
        <v>#DIV/0!</v>
      </c>
      <c r="P57" s="50" t="e">
        <f t="shared" si="42"/>
        <v>#DIV/0!</v>
      </c>
      <c r="Q57" s="51" t="e">
        <f t="shared" si="53"/>
        <v>#DIV/0!</v>
      </c>
      <c r="R57" s="52" t="e">
        <f t="shared" si="43"/>
        <v>#DIV/0!</v>
      </c>
      <c r="S57" s="52" t="e">
        <f t="shared" si="44"/>
        <v>#DIV/0!</v>
      </c>
      <c r="T57" s="52" t="e">
        <f t="shared" si="45"/>
        <v>#DIV/0!</v>
      </c>
      <c r="U57" s="53" t="e">
        <f t="shared" si="46"/>
        <v>#DIV/0!</v>
      </c>
      <c r="V57" s="54" t="e">
        <f t="shared" si="54"/>
        <v>#DIV/0!</v>
      </c>
      <c r="W57" s="55" t="e">
        <f t="shared" si="47"/>
        <v>#DIV/0!</v>
      </c>
      <c r="X57" s="55" t="e">
        <f t="shared" si="48"/>
        <v>#DIV/0!</v>
      </c>
      <c r="Y57" s="55" t="e">
        <f t="shared" si="49"/>
        <v>#DIV/0!</v>
      </c>
      <c r="Z57" s="56" t="e">
        <f t="shared" si="50"/>
        <v>#DIV/0!</v>
      </c>
      <c r="AB57" s="60" t="s">
        <v>46</v>
      </c>
      <c r="AC57" s="106" t="e">
        <f>Q62/1000</f>
        <v>#DIV/0!</v>
      </c>
      <c r="AD57" s="107" t="e">
        <f>V62/1000</f>
        <v>#DIV/0!</v>
      </c>
    </row>
    <row r="58" spans="1:30" ht="15" customHeight="1">
      <c r="A58" s="67">
        <v>14</v>
      </c>
      <c r="B58" s="68">
        <f t="shared" si="40"/>
        <v>120</v>
      </c>
      <c r="C58" s="94">
        <v>201.89384626976525</v>
      </c>
      <c r="D58" s="59">
        <v>170.34793279011444</v>
      </c>
      <c r="E58" s="95">
        <v>372.24177905987972</v>
      </c>
      <c r="F58" s="67">
        <v>30</v>
      </c>
      <c r="G58" s="39">
        <v>30</v>
      </c>
      <c r="H58" s="68">
        <v>0</v>
      </c>
      <c r="I58" s="61">
        <f t="shared" si="51"/>
        <v>0</v>
      </c>
      <c r="J58" s="62">
        <f>'Diffuse Modifier (Numerical)'!$B$13</f>
        <v>0</v>
      </c>
      <c r="K58" s="63">
        <f t="shared" si="41"/>
        <v>0</v>
      </c>
      <c r="L58" s="48" t="e">
        <f t="shared" si="52"/>
        <v>#DIV/0!</v>
      </c>
      <c r="M58" s="49" t="e">
        <f t="shared" si="42"/>
        <v>#DIV/0!</v>
      </c>
      <c r="N58" s="49" t="e">
        <f t="shared" si="42"/>
        <v>#DIV/0!</v>
      </c>
      <c r="O58" s="49" t="e">
        <f t="shared" si="42"/>
        <v>#DIV/0!</v>
      </c>
      <c r="P58" s="50" t="e">
        <f t="shared" si="42"/>
        <v>#DIV/0!</v>
      </c>
      <c r="Q58" s="51" t="e">
        <f t="shared" si="53"/>
        <v>#DIV/0!</v>
      </c>
      <c r="R58" s="52" t="e">
        <f t="shared" si="43"/>
        <v>#DIV/0!</v>
      </c>
      <c r="S58" s="52" t="e">
        <f t="shared" si="44"/>
        <v>#DIV/0!</v>
      </c>
      <c r="T58" s="52" t="e">
        <f t="shared" si="45"/>
        <v>#DIV/0!</v>
      </c>
      <c r="U58" s="53" t="e">
        <f t="shared" si="46"/>
        <v>#DIV/0!</v>
      </c>
      <c r="V58" s="54" t="e">
        <f t="shared" si="54"/>
        <v>#DIV/0!</v>
      </c>
      <c r="W58" s="55" t="e">
        <f t="shared" si="47"/>
        <v>#DIV/0!</v>
      </c>
      <c r="X58" s="55" t="e">
        <f t="shared" si="48"/>
        <v>#DIV/0!</v>
      </c>
      <c r="Y58" s="55" t="e">
        <f t="shared" si="49"/>
        <v>#DIV/0!</v>
      </c>
      <c r="Z58" s="56" t="e">
        <f t="shared" si="50"/>
        <v>#DIV/0!</v>
      </c>
      <c r="AB58" s="60" t="s">
        <v>47</v>
      </c>
      <c r="AC58" s="103" t="e">
        <f>R62/1000</f>
        <v>#DIV/0!</v>
      </c>
      <c r="AD58" s="105" t="e">
        <f>W62/1000</f>
        <v>#DIV/0!</v>
      </c>
    </row>
    <row r="59" spans="1:30" ht="15" customHeight="1">
      <c r="A59" s="67">
        <v>15</v>
      </c>
      <c r="B59" s="68">
        <f t="shared" si="40"/>
        <v>135</v>
      </c>
      <c r="C59" s="94">
        <v>141.9566106584287</v>
      </c>
      <c r="D59" s="59">
        <v>138.80201931046361</v>
      </c>
      <c r="E59" s="95">
        <v>280.75862996889231</v>
      </c>
      <c r="F59" s="67">
        <v>45</v>
      </c>
      <c r="G59" s="39">
        <v>45</v>
      </c>
      <c r="H59" s="68">
        <v>0</v>
      </c>
      <c r="I59" s="61">
        <f t="shared" si="51"/>
        <v>0</v>
      </c>
      <c r="J59" s="62">
        <f>'Diffuse Modifier (Numerical)'!$B$13</f>
        <v>0</v>
      </c>
      <c r="K59" s="63">
        <f t="shared" si="41"/>
        <v>0</v>
      </c>
      <c r="L59" s="48" t="e">
        <f t="shared" si="52"/>
        <v>#DIV/0!</v>
      </c>
      <c r="M59" s="49" t="e">
        <f t="shared" si="42"/>
        <v>#DIV/0!</v>
      </c>
      <c r="N59" s="49" t="e">
        <f t="shared" si="42"/>
        <v>#DIV/0!</v>
      </c>
      <c r="O59" s="49" t="e">
        <f t="shared" si="42"/>
        <v>#DIV/0!</v>
      </c>
      <c r="P59" s="50" t="e">
        <f t="shared" si="42"/>
        <v>#DIV/0!</v>
      </c>
      <c r="Q59" s="51" t="e">
        <f t="shared" si="53"/>
        <v>#DIV/0!</v>
      </c>
      <c r="R59" s="52" t="e">
        <f t="shared" si="43"/>
        <v>#DIV/0!</v>
      </c>
      <c r="S59" s="52" t="e">
        <f t="shared" si="44"/>
        <v>#DIV/0!</v>
      </c>
      <c r="T59" s="52" t="e">
        <f t="shared" si="45"/>
        <v>#DIV/0!</v>
      </c>
      <c r="U59" s="53" t="e">
        <f t="shared" si="46"/>
        <v>#DIV/0!</v>
      </c>
      <c r="V59" s="54" t="e">
        <f t="shared" si="54"/>
        <v>#DIV/0!</v>
      </c>
      <c r="W59" s="55" t="e">
        <f t="shared" si="47"/>
        <v>#DIV/0!</v>
      </c>
      <c r="X59" s="55" t="e">
        <f t="shared" si="48"/>
        <v>#DIV/0!</v>
      </c>
      <c r="Y59" s="55" t="e">
        <f t="shared" si="49"/>
        <v>#DIV/0!</v>
      </c>
      <c r="Z59" s="56" t="e">
        <f t="shared" si="50"/>
        <v>#DIV/0!</v>
      </c>
      <c r="AB59" s="60" t="s">
        <v>48</v>
      </c>
      <c r="AC59" s="103" t="e">
        <f>S62/1000</f>
        <v>#DIV/0!</v>
      </c>
      <c r="AD59" s="105" t="e">
        <f>X62/1000</f>
        <v>#DIV/0!</v>
      </c>
    </row>
    <row r="60" spans="1:30" ht="15" customHeight="1">
      <c r="A60" s="67">
        <v>16</v>
      </c>
      <c r="B60" s="68">
        <f t="shared" si="40"/>
        <v>150</v>
      </c>
      <c r="C60" s="94">
        <v>78.864783699127045</v>
      </c>
      <c r="D60" s="59">
        <v>97.792331786917558</v>
      </c>
      <c r="E60" s="95">
        <v>176.6571154860446</v>
      </c>
      <c r="F60" s="67">
        <v>60</v>
      </c>
      <c r="G60" s="39">
        <v>60</v>
      </c>
      <c r="H60" s="68">
        <v>0</v>
      </c>
      <c r="I60" s="61">
        <f t="shared" si="51"/>
        <v>0</v>
      </c>
      <c r="J60" s="62">
        <f>'Diffuse Modifier (Numerical)'!$B$13</f>
        <v>0</v>
      </c>
      <c r="K60" s="63">
        <f t="shared" si="41"/>
        <v>0</v>
      </c>
      <c r="L60" s="48" t="e">
        <f t="shared" si="52"/>
        <v>#DIV/0!</v>
      </c>
      <c r="M60" s="49" t="e">
        <f t="shared" si="42"/>
        <v>#DIV/0!</v>
      </c>
      <c r="N60" s="49" t="e">
        <f t="shared" si="42"/>
        <v>#DIV/0!</v>
      </c>
      <c r="O60" s="49" t="e">
        <f t="shared" si="42"/>
        <v>#DIV/0!</v>
      </c>
      <c r="P60" s="50" t="e">
        <f t="shared" si="42"/>
        <v>#DIV/0!</v>
      </c>
      <c r="Q60" s="51" t="e">
        <f t="shared" si="53"/>
        <v>#DIV/0!</v>
      </c>
      <c r="R60" s="52" t="e">
        <f t="shared" si="43"/>
        <v>#DIV/0!</v>
      </c>
      <c r="S60" s="52" t="e">
        <f t="shared" si="44"/>
        <v>#DIV/0!</v>
      </c>
      <c r="T60" s="52" t="e">
        <f t="shared" si="45"/>
        <v>#DIV/0!</v>
      </c>
      <c r="U60" s="53" t="e">
        <f t="shared" si="46"/>
        <v>#DIV/0!</v>
      </c>
      <c r="V60" s="54" t="e">
        <f t="shared" si="54"/>
        <v>#DIV/0!</v>
      </c>
      <c r="W60" s="55" t="e">
        <f t="shared" si="47"/>
        <v>#DIV/0!</v>
      </c>
      <c r="X60" s="55" t="e">
        <f t="shared" si="48"/>
        <v>#DIV/0!</v>
      </c>
      <c r="Y60" s="55" t="e">
        <f t="shared" si="49"/>
        <v>#DIV/0!</v>
      </c>
      <c r="Z60" s="56" t="e">
        <f t="shared" si="50"/>
        <v>#DIV/0!</v>
      </c>
      <c r="AB60" s="60" t="s">
        <v>49</v>
      </c>
      <c r="AC60" s="103" t="e">
        <f>T62/1000</f>
        <v>#DIV/0!</v>
      </c>
      <c r="AD60" s="105" t="e">
        <f>Y62/1000</f>
        <v>#DIV/0!</v>
      </c>
    </row>
    <row r="61" spans="1:30" ht="15" customHeight="1">
      <c r="A61" s="67">
        <v>17</v>
      </c>
      <c r="B61" s="68">
        <f t="shared" si="40"/>
        <v>165</v>
      </c>
      <c r="C61" s="94">
        <v>28.391322131685737</v>
      </c>
      <c r="D61" s="59">
        <v>50.473461567441312</v>
      </c>
      <c r="E61" s="95">
        <v>78.864783699127045</v>
      </c>
      <c r="F61" s="67">
        <v>75</v>
      </c>
      <c r="G61" s="39">
        <v>75</v>
      </c>
      <c r="H61" s="68">
        <v>0</v>
      </c>
      <c r="I61" s="65">
        <f t="shared" si="51"/>
        <v>0</v>
      </c>
      <c r="J61" s="66">
        <f>'Diffuse Modifier (Numerical)'!$B$13</f>
        <v>0</v>
      </c>
      <c r="K61" s="64">
        <f t="shared" si="41"/>
        <v>0</v>
      </c>
      <c r="L61" s="48" t="e">
        <f t="shared" si="52"/>
        <v>#DIV/0!</v>
      </c>
      <c r="M61" s="49" t="e">
        <f t="shared" si="42"/>
        <v>#DIV/0!</v>
      </c>
      <c r="N61" s="49" t="e">
        <f t="shared" si="42"/>
        <v>#DIV/0!</v>
      </c>
      <c r="O61" s="49" t="e">
        <f t="shared" si="42"/>
        <v>#DIV/0!</v>
      </c>
      <c r="P61" s="50" t="e">
        <f t="shared" si="42"/>
        <v>#DIV/0!</v>
      </c>
      <c r="Q61" s="51" t="e">
        <f t="shared" si="53"/>
        <v>#DIV/0!</v>
      </c>
      <c r="R61" s="52" t="e">
        <f t="shared" si="43"/>
        <v>#DIV/0!</v>
      </c>
      <c r="S61" s="52" t="e">
        <f t="shared" si="44"/>
        <v>#DIV/0!</v>
      </c>
      <c r="T61" s="52" t="e">
        <f t="shared" si="45"/>
        <v>#DIV/0!</v>
      </c>
      <c r="U61" s="53" t="e">
        <f t="shared" si="46"/>
        <v>#DIV/0!</v>
      </c>
      <c r="V61" s="54" t="e">
        <f t="shared" si="54"/>
        <v>#DIV/0!</v>
      </c>
      <c r="W61" s="55" t="e">
        <f t="shared" si="47"/>
        <v>#DIV/0!</v>
      </c>
      <c r="X61" s="55" t="e">
        <f t="shared" si="48"/>
        <v>#DIV/0!</v>
      </c>
      <c r="Y61" s="55" t="e">
        <f t="shared" si="49"/>
        <v>#DIV/0!</v>
      </c>
      <c r="Z61" s="56" t="e">
        <f t="shared" si="50"/>
        <v>#DIV/0!</v>
      </c>
      <c r="AB61" s="60" t="s">
        <v>50</v>
      </c>
      <c r="AC61" s="103" t="e">
        <f>U62/1000</f>
        <v>#DIV/0!</v>
      </c>
      <c r="AD61" s="105" t="e">
        <f>Z62/1000</f>
        <v>#DIV/0!</v>
      </c>
    </row>
    <row r="62" spans="1:30" ht="15" customHeight="1">
      <c r="A62" s="663" t="s">
        <v>54</v>
      </c>
      <c r="B62" s="664"/>
      <c r="C62" s="69">
        <f>SUM(C51:C61)</f>
        <v>1665.624231725563</v>
      </c>
      <c r="D62" s="70">
        <f>SUM(D51:D61)</f>
        <v>1488.9671162395186</v>
      </c>
      <c r="E62" s="71">
        <f>SUM(E51:E61)</f>
        <v>3154.5913479650822</v>
      </c>
      <c r="F62" s="69"/>
      <c r="G62" s="70"/>
      <c r="H62" s="71"/>
      <c r="I62" s="72"/>
      <c r="J62" s="73"/>
      <c r="K62" s="74">
        <f t="shared" ref="K62" si="55">SUM(K51:K61)</f>
        <v>264.98567322906689</v>
      </c>
      <c r="L62" s="69"/>
      <c r="M62" s="70"/>
      <c r="N62" s="70"/>
      <c r="O62" s="70"/>
      <c r="P62" s="71"/>
      <c r="Q62" s="69" t="e">
        <f>SUM(Q51:Q61)</f>
        <v>#DIV/0!</v>
      </c>
      <c r="R62" s="70" t="e">
        <f t="shared" ref="R62:U62" si="56">SUM(R51:R61)</f>
        <v>#DIV/0!</v>
      </c>
      <c r="S62" s="70" t="e">
        <f t="shared" si="56"/>
        <v>#DIV/0!</v>
      </c>
      <c r="T62" s="70" t="e">
        <f t="shared" si="56"/>
        <v>#DIV/0!</v>
      </c>
      <c r="U62" s="71" t="e">
        <f t="shared" si="56"/>
        <v>#DIV/0!</v>
      </c>
      <c r="V62" s="69" t="e">
        <f>SUM(V51:V61)</f>
        <v>#DIV/0!</v>
      </c>
      <c r="W62" s="70" t="e">
        <f t="shared" ref="W62:Z62" si="57">SUM(W51:W61)</f>
        <v>#DIV/0!</v>
      </c>
      <c r="X62" s="70" t="e">
        <f t="shared" si="57"/>
        <v>#DIV/0!</v>
      </c>
      <c r="Y62" s="70" t="e">
        <f t="shared" si="57"/>
        <v>#DIV/0!</v>
      </c>
      <c r="Z62" s="71" t="e">
        <f t="shared" si="57"/>
        <v>#DIV/0!</v>
      </c>
    </row>
    <row r="63" spans="1:30" ht="15" customHeight="1">
      <c r="L63" s="58"/>
      <c r="M63" s="58"/>
      <c r="N63" s="58"/>
      <c r="O63" s="58"/>
      <c r="P63" s="96" t="s">
        <v>43</v>
      </c>
      <c r="Q63" s="102" t="e">
        <f>Q62/$K62</f>
        <v>#DIV/0!</v>
      </c>
      <c r="R63" s="97" t="e">
        <f t="shared" ref="R63:U63" si="58">R62/$K62</f>
        <v>#DIV/0!</v>
      </c>
      <c r="S63" s="97" t="e">
        <f t="shared" si="58"/>
        <v>#DIV/0!</v>
      </c>
      <c r="T63" s="97" t="e">
        <f t="shared" si="58"/>
        <v>#DIV/0!</v>
      </c>
      <c r="U63" s="98" t="e">
        <f t="shared" si="58"/>
        <v>#DIV/0!</v>
      </c>
      <c r="V63" s="58"/>
      <c r="W63" s="58"/>
      <c r="X63" s="58"/>
      <c r="Y63" s="58"/>
      <c r="Z63" s="58"/>
    </row>
    <row r="64" spans="1:30" ht="15" customHeight="1"/>
    <row r="65" ht="15" customHeight="1"/>
    <row r="66" ht="15" customHeight="1"/>
    <row r="67" ht="15" customHeight="1"/>
    <row r="68" ht="15" customHeight="1"/>
  </sheetData>
  <mergeCells count="73">
    <mergeCell ref="A1:E1"/>
    <mergeCell ref="A5:D5"/>
    <mergeCell ref="G1:K1"/>
    <mergeCell ref="AB31:AB37"/>
    <mergeCell ref="K9:K11"/>
    <mergeCell ref="A8:Z8"/>
    <mergeCell ref="A27:Z27"/>
    <mergeCell ref="I9:J9"/>
    <mergeCell ref="J10:J12"/>
    <mergeCell ref="F9:H9"/>
    <mergeCell ref="I10:I12"/>
    <mergeCell ref="C10:C11"/>
    <mergeCell ref="D10:D11"/>
    <mergeCell ref="E10:E11"/>
    <mergeCell ref="F10:F11"/>
    <mergeCell ref="J29:J31"/>
    <mergeCell ref="AC31:AD32"/>
    <mergeCell ref="AC33:AD34"/>
    <mergeCell ref="AC35:AD35"/>
    <mergeCell ref="AB50:AB56"/>
    <mergeCell ref="AC50:AD51"/>
    <mergeCell ref="AC52:AD53"/>
    <mergeCell ref="AC54:AD54"/>
    <mergeCell ref="L28:P28"/>
    <mergeCell ref="Q28:U28"/>
    <mergeCell ref="V28:Z28"/>
    <mergeCell ref="C28:E28"/>
    <mergeCell ref="I28:J28"/>
    <mergeCell ref="K47:K49"/>
    <mergeCell ref="C48:C49"/>
    <mergeCell ref="D48:D49"/>
    <mergeCell ref="E48:E49"/>
    <mergeCell ref="F48:F49"/>
    <mergeCell ref="G48:G49"/>
    <mergeCell ref="H48:H49"/>
    <mergeCell ref="C47:E47"/>
    <mergeCell ref="F47:H47"/>
    <mergeCell ref="I47:J47"/>
    <mergeCell ref="I48:I50"/>
    <mergeCell ref="J48:J50"/>
    <mergeCell ref="AC11:AD11"/>
    <mergeCell ref="AC12:AD13"/>
    <mergeCell ref="AC16:AD16"/>
    <mergeCell ref="AC14:AD15"/>
    <mergeCell ref="AB12:AB18"/>
    <mergeCell ref="L47:P47"/>
    <mergeCell ref="Q47:U47"/>
    <mergeCell ref="V47:Z47"/>
    <mergeCell ref="Q9:U9"/>
    <mergeCell ref="V9:Z9"/>
    <mergeCell ref="L9:P9"/>
    <mergeCell ref="A46:Z46"/>
    <mergeCell ref="A28:A30"/>
    <mergeCell ref="B28:B30"/>
    <mergeCell ref="K28:K30"/>
    <mergeCell ref="C29:C30"/>
    <mergeCell ref="D29:D30"/>
    <mergeCell ref="E29:E30"/>
    <mergeCell ref="F29:F30"/>
    <mergeCell ref="G29:G30"/>
    <mergeCell ref="H29:H30"/>
    <mergeCell ref="G10:G11"/>
    <mergeCell ref="H10:H11"/>
    <mergeCell ref="C9:E9"/>
    <mergeCell ref="F28:H28"/>
    <mergeCell ref="I29:I31"/>
    <mergeCell ref="A24:B24"/>
    <mergeCell ref="A43:B43"/>
    <mergeCell ref="A62:B62"/>
    <mergeCell ref="A9:A11"/>
    <mergeCell ref="B9:B11"/>
    <mergeCell ref="A47:A49"/>
    <mergeCell ref="B47:B49"/>
  </mergeCells>
  <conditionalFormatting sqref="L13:Z23 Q26:U26">
    <cfRule type="cellIs" dxfId="5" priority="11" operator="equal">
      <formula>0</formula>
    </cfRule>
  </conditionalFormatting>
  <conditionalFormatting sqref="Q44:U45">
    <cfRule type="cellIs" dxfId="4" priority="6" operator="equal">
      <formula>0</formula>
    </cfRule>
  </conditionalFormatting>
  <conditionalFormatting sqref="L32:Z42">
    <cfRule type="cellIs" dxfId="3" priority="4" operator="equal">
      <formula>0</formula>
    </cfRule>
  </conditionalFormatting>
  <conditionalFormatting sqref="L51:Z61">
    <cfRule type="cellIs" dxfId="2" priority="3" operator="equal">
      <formula>0</formula>
    </cfRule>
  </conditionalFormatting>
  <conditionalFormatting sqref="Q63:U63">
    <cfRule type="cellIs" dxfId="1" priority="2" operator="equal">
      <formula>0</formula>
    </cfRule>
  </conditionalFormatting>
  <conditionalFormatting sqref="Q25:U25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R101"/>
  <sheetViews>
    <sheetView showGridLines="0" zoomScaleNormal="100" workbookViewId="0">
      <selection activeCell="A83" sqref="A83"/>
    </sheetView>
  </sheetViews>
  <sheetFormatPr defaultRowHeight="15"/>
  <cols>
    <col min="1" max="1" width="22.7109375" style="275" customWidth="1"/>
    <col min="2" max="6" width="14.7109375" style="275" customWidth="1"/>
    <col min="7" max="10" width="14.7109375" style="273" customWidth="1"/>
    <col min="11" max="11" width="15.7109375" style="274" customWidth="1"/>
    <col min="12" max="13" width="9.5703125" style="275" bestFit="1" customWidth="1"/>
    <col min="14" max="14" width="9.28515625" style="275" bestFit="1" customWidth="1"/>
    <col min="15" max="15" width="10.5703125" style="275" bestFit="1" customWidth="1"/>
    <col min="16" max="18" width="9.5703125" style="275" bestFit="1" customWidth="1"/>
    <col min="19" max="16384" width="9.140625" style="275"/>
  </cols>
  <sheetData>
    <row r="1" spans="1:18" ht="20.100000000000001" customHeight="1">
      <c r="A1" s="747" t="s">
        <v>102</v>
      </c>
      <c r="B1" s="747"/>
      <c r="C1" s="747"/>
      <c r="D1" s="748">
        <f>'Input Data'!C4</f>
        <v>0</v>
      </c>
      <c r="E1" s="748"/>
      <c r="F1" s="748"/>
    </row>
    <row r="2" spans="1:18" ht="20.100000000000001" customHeight="1">
      <c r="A2" s="747" t="s">
        <v>167</v>
      </c>
      <c r="B2" s="747"/>
      <c r="C2" s="747"/>
      <c r="D2" s="748">
        <f>'Input Data'!C5</f>
        <v>0</v>
      </c>
      <c r="E2" s="748"/>
      <c r="F2" s="748"/>
    </row>
    <row r="3" spans="1:18" ht="20.100000000000001" customHeight="1">
      <c r="A3" s="747" t="s">
        <v>166</v>
      </c>
      <c r="B3" s="747"/>
      <c r="C3" s="747"/>
      <c r="D3" s="748">
        <f>'Input Data'!C23</f>
        <v>0</v>
      </c>
      <c r="E3" s="748"/>
      <c r="F3" s="748"/>
    </row>
    <row r="4" spans="1:18" ht="20.100000000000001" customHeight="1" thickBot="1">
      <c r="A4" s="299"/>
      <c r="B4" s="299"/>
      <c r="C4" s="299"/>
      <c r="D4" s="300"/>
      <c r="E4" s="300"/>
      <c r="F4" s="300"/>
    </row>
    <row r="5" spans="1:18" ht="20.100000000000001" customHeight="1" thickBot="1">
      <c r="A5" s="771" t="s">
        <v>154</v>
      </c>
      <c r="B5" s="772"/>
      <c r="C5" s="772"/>
      <c r="D5" s="772"/>
      <c r="E5" s="772"/>
      <c r="F5" s="772"/>
      <c r="G5" s="772"/>
      <c r="H5" s="772"/>
      <c r="I5" s="772"/>
      <c r="J5" s="773"/>
    </row>
    <row r="6" spans="1:18" ht="20.100000000000001" customHeight="1" thickBot="1">
      <c r="A6" s="763" t="s">
        <v>153</v>
      </c>
      <c r="B6" s="764"/>
      <c r="C6" s="765"/>
      <c r="D6" s="765"/>
      <c r="E6" s="765"/>
      <c r="F6" s="765"/>
      <c r="G6" s="765"/>
      <c r="H6" s="765"/>
      <c r="I6" s="765"/>
      <c r="J6" s="766"/>
      <c r="K6" s="284"/>
    </row>
    <row r="7" spans="1:18" ht="20.100000000000001" customHeight="1">
      <c r="A7" s="757" t="s">
        <v>146</v>
      </c>
      <c r="B7" s="758"/>
      <c r="C7" s="769" t="s">
        <v>151</v>
      </c>
      <c r="D7" s="767" t="s">
        <v>152</v>
      </c>
      <c r="E7" s="767"/>
      <c r="F7" s="768"/>
      <c r="G7" s="769" t="s">
        <v>151</v>
      </c>
      <c r="H7" s="767" t="s">
        <v>298</v>
      </c>
      <c r="I7" s="767"/>
      <c r="J7" s="768"/>
      <c r="K7" s="269"/>
    </row>
    <row r="8" spans="1:18" ht="20.100000000000001" customHeight="1">
      <c r="A8" s="759"/>
      <c r="B8" s="760"/>
      <c r="C8" s="770"/>
      <c r="D8" s="811" t="s">
        <v>53</v>
      </c>
      <c r="E8" s="492" t="s">
        <v>157</v>
      </c>
      <c r="F8" s="813" t="s">
        <v>58</v>
      </c>
      <c r="G8" s="770"/>
      <c r="H8" s="811" t="s">
        <v>53</v>
      </c>
      <c r="I8" s="492" t="s">
        <v>157</v>
      </c>
      <c r="J8" s="813" t="s">
        <v>58</v>
      </c>
      <c r="K8" s="278"/>
    </row>
    <row r="9" spans="1:18" ht="20.100000000000001" customHeight="1">
      <c r="A9" s="759"/>
      <c r="B9" s="760"/>
      <c r="C9" s="497" t="s">
        <v>211</v>
      </c>
      <c r="D9" s="812"/>
      <c r="E9" s="493" t="s">
        <v>58</v>
      </c>
      <c r="F9" s="814"/>
      <c r="G9" s="497" t="s">
        <v>211</v>
      </c>
      <c r="H9" s="812"/>
      <c r="I9" s="493" t="s">
        <v>58</v>
      </c>
      <c r="J9" s="814"/>
      <c r="K9" s="278"/>
    </row>
    <row r="10" spans="1:18" ht="20.100000000000001" customHeight="1">
      <c r="A10" s="761"/>
      <c r="B10" s="762"/>
      <c r="C10" s="405" t="s">
        <v>284</v>
      </c>
      <c r="D10" s="288" t="s">
        <v>156</v>
      </c>
      <c r="E10" s="289" t="s">
        <v>156</v>
      </c>
      <c r="F10" s="290" t="s">
        <v>156</v>
      </c>
      <c r="G10" s="287" t="s">
        <v>212</v>
      </c>
      <c r="H10" s="288" t="s">
        <v>297</v>
      </c>
      <c r="I10" s="288" t="s">
        <v>297</v>
      </c>
      <c r="J10" s="498" t="s">
        <v>297</v>
      </c>
      <c r="K10" s="278"/>
    </row>
    <row r="11" spans="1:18" ht="20.100000000000001" customHeight="1">
      <c r="A11" s="749" t="s">
        <v>213</v>
      </c>
      <c r="B11" s="750"/>
      <c r="C11" s="403">
        <v>-5</v>
      </c>
      <c r="D11" s="291" t="e">
        <f>D22*$G$49</f>
        <v>#DIV/0!</v>
      </c>
      <c r="E11" s="292" t="e">
        <f t="shared" ref="E11:F11" si="0">E22*$G$49</f>
        <v>#DIV/0!</v>
      </c>
      <c r="F11" s="401" t="e">
        <f t="shared" si="0"/>
        <v>#DIV/0!</v>
      </c>
      <c r="G11" s="403">
        <v>-9</v>
      </c>
      <c r="H11" s="292" t="e">
        <f>H22*$I$49</f>
        <v>#DIV/0!</v>
      </c>
      <c r="I11" s="292" t="e">
        <f t="shared" ref="I11:J11" si="1">I22*$I$49</f>
        <v>#DIV/0!</v>
      </c>
      <c r="J11" s="401" t="e">
        <f t="shared" si="1"/>
        <v>#DIV/0!</v>
      </c>
      <c r="K11" s="285"/>
      <c r="L11" s="510"/>
      <c r="M11" s="510"/>
      <c r="N11" s="510"/>
      <c r="O11" s="510"/>
      <c r="P11" s="510"/>
      <c r="Q11" s="510"/>
      <c r="R11" s="510"/>
    </row>
    <row r="12" spans="1:18" ht="20.100000000000001" customHeight="1">
      <c r="A12" s="749" t="s">
        <v>214</v>
      </c>
      <c r="B12" s="750"/>
      <c r="C12" s="404">
        <v>5</v>
      </c>
      <c r="D12" s="292" t="e">
        <f t="shared" ref="D12:F12" si="2">D23*$G$49</f>
        <v>#DIV/0!</v>
      </c>
      <c r="E12" s="292" t="e">
        <f t="shared" si="2"/>
        <v>#DIV/0!</v>
      </c>
      <c r="F12" s="401" t="e">
        <f t="shared" si="2"/>
        <v>#DIV/0!</v>
      </c>
      <c r="G12" s="403">
        <v>9</v>
      </c>
      <c r="H12" s="292" t="e">
        <f t="shared" ref="H12:J12" si="3">H23*$I$49</f>
        <v>#DIV/0!</v>
      </c>
      <c r="I12" s="292" t="e">
        <f t="shared" si="3"/>
        <v>#DIV/0!</v>
      </c>
      <c r="J12" s="401" t="e">
        <f t="shared" si="3"/>
        <v>#DIV/0!</v>
      </c>
      <c r="K12" s="285"/>
      <c r="L12" s="510"/>
      <c r="M12" s="510"/>
      <c r="N12" s="510"/>
      <c r="O12" s="510"/>
      <c r="P12" s="510"/>
      <c r="Q12" s="510"/>
      <c r="R12" s="510"/>
    </row>
    <row r="13" spans="1:18" ht="20.100000000000001" customHeight="1">
      <c r="A13" s="749" t="s">
        <v>215</v>
      </c>
      <c r="B13" s="750"/>
      <c r="C13" s="404">
        <v>20</v>
      </c>
      <c r="D13" s="292" t="e">
        <f t="shared" ref="D13:F13" si="4">D24*$G$49</f>
        <v>#DIV/0!</v>
      </c>
      <c r="E13" s="292" t="e">
        <f t="shared" si="4"/>
        <v>#DIV/0!</v>
      </c>
      <c r="F13" s="401" t="e">
        <f t="shared" si="4"/>
        <v>#DIV/0!</v>
      </c>
      <c r="G13" s="403">
        <v>36</v>
      </c>
      <c r="H13" s="292" t="e">
        <f t="shared" ref="H13:J13" si="5">H24*$I$49</f>
        <v>#DIV/0!</v>
      </c>
      <c r="I13" s="292" t="e">
        <f t="shared" si="5"/>
        <v>#DIV/0!</v>
      </c>
      <c r="J13" s="401" t="e">
        <f t="shared" si="5"/>
        <v>#DIV/0!</v>
      </c>
      <c r="K13" s="285"/>
      <c r="L13" s="510"/>
      <c r="M13" s="510"/>
      <c r="N13" s="510"/>
      <c r="O13" s="510"/>
      <c r="P13" s="510"/>
      <c r="Q13" s="510"/>
      <c r="R13" s="510"/>
    </row>
    <row r="14" spans="1:18" ht="20.100000000000001" customHeight="1">
      <c r="A14" s="749" t="s">
        <v>216</v>
      </c>
      <c r="B14" s="750"/>
      <c r="C14" s="404">
        <v>50</v>
      </c>
      <c r="D14" s="292" t="e">
        <f t="shared" ref="D14:F14" si="6">D25*$G$49</f>
        <v>#DIV/0!</v>
      </c>
      <c r="E14" s="292" t="e">
        <f t="shared" si="6"/>
        <v>#DIV/0!</v>
      </c>
      <c r="F14" s="401" t="e">
        <f t="shared" si="6"/>
        <v>#DIV/0!</v>
      </c>
      <c r="G14" s="403">
        <v>90</v>
      </c>
      <c r="H14" s="292" t="e">
        <f t="shared" ref="H14:J14" si="7">H25*$I$49</f>
        <v>#DIV/0!</v>
      </c>
      <c r="I14" s="292" t="e">
        <f t="shared" si="7"/>
        <v>#DIV/0!</v>
      </c>
      <c r="J14" s="401" t="e">
        <f t="shared" si="7"/>
        <v>#DIV/0!</v>
      </c>
      <c r="K14" s="285"/>
      <c r="L14" s="510"/>
      <c r="M14" s="510"/>
      <c r="N14" s="510"/>
      <c r="O14" s="510"/>
      <c r="P14" s="510"/>
      <c r="Q14" s="510"/>
      <c r="R14" s="510"/>
    </row>
    <row r="15" spans="1:18" ht="20.100000000000001" customHeight="1" thickBot="1">
      <c r="A15" s="793" t="s">
        <v>286</v>
      </c>
      <c r="B15" s="794"/>
      <c r="C15" s="411">
        <v>80</v>
      </c>
      <c r="D15" s="293" t="e">
        <f t="shared" ref="D15:F15" si="8">D26*$G$49</f>
        <v>#DIV/0!</v>
      </c>
      <c r="E15" s="293" t="e">
        <f t="shared" si="8"/>
        <v>#DIV/0!</v>
      </c>
      <c r="F15" s="402" t="e">
        <f t="shared" si="8"/>
        <v>#DIV/0!</v>
      </c>
      <c r="G15" s="412">
        <v>144</v>
      </c>
      <c r="H15" s="293" t="e">
        <f t="shared" ref="H15:J15" si="9">H26*$I$49</f>
        <v>#DIV/0!</v>
      </c>
      <c r="I15" s="293" t="e">
        <f t="shared" si="9"/>
        <v>#DIV/0!</v>
      </c>
      <c r="J15" s="402" t="e">
        <f t="shared" si="9"/>
        <v>#DIV/0!</v>
      </c>
      <c r="K15" s="285"/>
      <c r="L15" s="510"/>
      <c r="M15" s="510"/>
      <c r="N15" s="510"/>
      <c r="O15" s="510"/>
      <c r="P15" s="510"/>
      <c r="Q15" s="510"/>
      <c r="R15" s="510"/>
    </row>
    <row r="16" spans="1:18" ht="20.100000000000001" customHeight="1" thickBot="1">
      <c r="A16" s="821"/>
      <c r="B16" s="821"/>
      <c r="C16" s="821"/>
      <c r="D16" s="821"/>
      <c r="E16" s="821"/>
      <c r="F16" s="821"/>
      <c r="G16" s="821"/>
      <c r="H16" s="821"/>
      <c r="I16" s="821"/>
      <c r="J16" s="821"/>
      <c r="K16" s="285"/>
    </row>
    <row r="17" spans="1:17" ht="20.100000000000001" customHeight="1" thickBot="1">
      <c r="A17" s="789" t="s">
        <v>240</v>
      </c>
      <c r="B17" s="790"/>
      <c r="C17" s="791"/>
      <c r="D17" s="791"/>
      <c r="E17" s="791"/>
      <c r="F17" s="791"/>
      <c r="G17" s="791"/>
      <c r="H17" s="791"/>
      <c r="I17" s="791"/>
      <c r="J17" s="792"/>
      <c r="K17" s="280"/>
    </row>
    <row r="18" spans="1:17" ht="20.100000000000001" customHeight="1">
      <c r="A18" s="751" t="s">
        <v>146</v>
      </c>
      <c r="B18" s="752"/>
      <c r="C18" s="815" t="s">
        <v>151</v>
      </c>
      <c r="D18" s="809" t="s">
        <v>241</v>
      </c>
      <c r="E18" s="809"/>
      <c r="F18" s="810"/>
      <c r="G18" s="815" t="s">
        <v>151</v>
      </c>
      <c r="H18" s="809" t="s">
        <v>299</v>
      </c>
      <c r="I18" s="809"/>
      <c r="J18" s="810"/>
      <c r="K18" s="280"/>
    </row>
    <row r="19" spans="1:17" ht="20.100000000000001" customHeight="1">
      <c r="A19" s="753"/>
      <c r="B19" s="754"/>
      <c r="C19" s="816"/>
      <c r="D19" s="817" t="s">
        <v>53</v>
      </c>
      <c r="E19" s="495" t="s">
        <v>157</v>
      </c>
      <c r="F19" s="819" t="s">
        <v>58</v>
      </c>
      <c r="G19" s="816"/>
      <c r="H19" s="817" t="s">
        <v>53</v>
      </c>
      <c r="I19" s="495" t="s">
        <v>157</v>
      </c>
      <c r="J19" s="819" t="s">
        <v>58</v>
      </c>
      <c r="K19" s="280"/>
    </row>
    <row r="20" spans="1:17" ht="20.100000000000001" customHeight="1">
      <c r="A20" s="753"/>
      <c r="B20" s="754"/>
      <c r="C20" s="494" t="s">
        <v>211</v>
      </c>
      <c r="D20" s="818"/>
      <c r="E20" s="496" t="s">
        <v>58</v>
      </c>
      <c r="F20" s="820"/>
      <c r="G20" s="494" t="s">
        <v>211</v>
      </c>
      <c r="H20" s="818"/>
      <c r="I20" s="496" t="s">
        <v>58</v>
      </c>
      <c r="J20" s="820"/>
      <c r="K20" s="280"/>
      <c r="L20" s="274"/>
      <c r="M20" s="274"/>
      <c r="N20" s="274"/>
    </row>
    <row r="21" spans="1:17" ht="20.100000000000001" customHeight="1">
      <c r="A21" s="755"/>
      <c r="B21" s="756"/>
      <c r="C21" s="405" t="s">
        <v>284</v>
      </c>
      <c r="D21" s="406" t="s">
        <v>239</v>
      </c>
      <c r="E21" s="407" t="s">
        <v>239</v>
      </c>
      <c r="F21" s="408" t="s">
        <v>239</v>
      </c>
      <c r="G21" s="405" t="s">
        <v>212</v>
      </c>
      <c r="H21" s="406" t="s">
        <v>217</v>
      </c>
      <c r="I21" s="406" t="s">
        <v>217</v>
      </c>
      <c r="J21" s="499" t="s">
        <v>217</v>
      </c>
      <c r="K21" s="280"/>
      <c r="L21" s="274"/>
      <c r="M21" s="278"/>
      <c r="N21" s="274"/>
    </row>
    <row r="22" spans="1:17" ht="20.100000000000001" customHeight="1">
      <c r="A22" s="749" t="s">
        <v>213</v>
      </c>
      <c r="B22" s="750"/>
      <c r="C22" s="403">
        <v>-5</v>
      </c>
      <c r="D22" s="292" t="e">
        <f>'Calculator (SI)'!AC19</f>
        <v>#DIV/0!</v>
      </c>
      <c r="E22" s="292" t="e">
        <f>'Calculator (SI)'!AC38</f>
        <v>#DIV/0!</v>
      </c>
      <c r="F22" s="401" t="e">
        <f>'Calculator (SI)'!AC57</f>
        <v>#DIV/0!</v>
      </c>
      <c r="G22" s="403">
        <v>-9</v>
      </c>
      <c r="H22" s="292" t="e">
        <f>D22*3.412142/10.7639</f>
        <v>#DIV/0!</v>
      </c>
      <c r="I22" s="292" t="e">
        <f t="shared" ref="I22:J26" si="10">E22*3.412142/10.7639</f>
        <v>#DIV/0!</v>
      </c>
      <c r="J22" s="401" t="e">
        <f t="shared" si="10"/>
        <v>#DIV/0!</v>
      </c>
      <c r="K22" s="280"/>
      <c r="L22" s="274"/>
      <c r="M22" s="274"/>
      <c r="N22" s="274"/>
    </row>
    <row r="23" spans="1:17" ht="20.100000000000001" customHeight="1">
      <c r="A23" s="500" t="s">
        <v>214</v>
      </c>
      <c r="B23" s="409"/>
      <c r="C23" s="404">
        <v>5</v>
      </c>
      <c r="D23" s="292" t="e">
        <f>'Calculator (SI)'!AC20</f>
        <v>#DIV/0!</v>
      </c>
      <c r="E23" s="292" t="e">
        <f>'Calculator (SI)'!AC39</f>
        <v>#DIV/0!</v>
      </c>
      <c r="F23" s="401" t="e">
        <f>'Calculator (SI)'!AC58</f>
        <v>#DIV/0!</v>
      </c>
      <c r="G23" s="403">
        <v>9</v>
      </c>
      <c r="H23" s="292" t="e">
        <f t="shared" ref="H23:H26" si="11">D23*3.412142/10.7639</f>
        <v>#DIV/0!</v>
      </c>
      <c r="I23" s="292" t="e">
        <f t="shared" si="10"/>
        <v>#DIV/0!</v>
      </c>
      <c r="J23" s="401" t="e">
        <f t="shared" si="10"/>
        <v>#DIV/0!</v>
      </c>
      <c r="K23" s="280"/>
      <c r="L23" s="274"/>
      <c r="M23" s="274"/>
      <c r="N23" s="274"/>
    </row>
    <row r="24" spans="1:17" ht="20.100000000000001" customHeight="1">
      <c r="A24" s="500" t="s">
        <v>215</v>
      </c>
      <c r="B24" s="409"/>
      <c r="C24" s="404">
        <v>20</v>
      </c>
      <c r="D24" s="292" t="e">
        <f>'Calculator (SI)'!AC21</f>
        <v>#DIV/0!</v>
      </c>
      <c r="E24" s="292" t="e">
        <f>'Calculator (SI)'!AC40</f>
        <v>#DIV/0!</v>
      </c>
      <c r="F24" s="401" t="e">
        <f>'Calculator (SI)'!AC59</f>
        <v>#DIV/0!</v>
      </c>
      <c r="G24" s="403">
        <v>36</v>
      </c>
      <c r="H24" s="292" t="e">
        <f t="shared" si="11"/>
        <v>#DIV/0!</v>
      </c>
      <c r="I24" s="292" t="e">
        <f t="shared" si="10"/>
        <v>#DIV/0!</v>
      </c>
      <c r="J24" s="401" t="e">
        <f t="shared" si="10"/>
        <v>#DIV/0!</v>
      </c>
      <c r="K24" s="280"/>
    </row>
    <row r="25" spans="1:17" ht="20.100000000000001" customHeight="1">
      <c r="A25" s="500" t="s">
        <v>216</v>
      </c>
      <c r="B25" s="409"/>
      <c r="C25" s="404">
        <v>50</v>
      </c>
      <c r="D25" s="292" t="e">
        <f>'Calculator (SI)'!AC22</f>
        <v>#DIV/0!</v>
      </c>
      <c r="E25" s="292" t="e">
        <f>'Calculator (SI)'!AC41</f>
        <v>#DIV/0!</v>
      </c>
      <c r="F25" s="401" t="e">
        <f>'Calculator (SI)'!AC60</f>
        <v>#DIV/0!</v>
      </c>
      <c r="G25" s="403">
        <v>90</v>
      </c>
      <c r="H25" s="292" t="e">
        <f t="shared" si="11"/>
        <v>#DIV/0!</v>
      </c>
      <c r="I25" s="292" t="e">
        <f t="shared" si="10"/>
        <v>#DIV/0!</v>
      </c>
      <c r="J25" s="401" t="e">
        <f t="shared" si="10"/>
        <v>#DIV/0!</v>
      </c>
      <c r="K25" s="280"/>
    </row>
    <row r="26" spans="1:17" ht="20.100000000000001" customHeight="1" thickBot="1">
      <c r="A26" s="501" t="s">
        <v>285</v>
      </c>
      <c r="B26" s="410"/>
      <c r="C26" s="411">
        <v>80</v>
      </c>
      <c r="D26" s="293" t="e">
        <f>'Calculator (SI)'!AC23</f>
        <v>#DIV/0!</v>
      </c>
      <c r="E26" s="293" t="e">
        <f>'Calculator (SI)'!AC42</f>
        <v>#DIV/0!</v>
      </c>
      <c r="F26" s="402" t="e">
        <f>'Calculator (SI)'!AC61</f>
        <v>#DIV/0!</v>
      </c>
      <c r="G26" s="412">
        <v>144</v>
      </c>
      <c r="H26" s="293" t="e">
        <f t="shared" si="11"/>
        <v>#DIV/0!</v>
      </c>
      <c r="I26" s="293" t="e">
        <f t="shared" si="10"/>
        <v>#DIV/0!</v>
      </c>
      <c r="J26" s="402" t="e">
        <f t="shared" si="10"/>
        <v>#DIV/0!</v>
      </c>
      <c r="K26" s="280"/>
      <c r="L26" s="279"/>
      <c r="M26" s="279"/>
      <c r="N26" s="279"/>
      <c r="O26" s="279"/>
      <c r="P26" s="279"/>
      <c r="Q26" s="279"/>
    </row>
    <row r="27" spans="1:17" ht="20.100000000000001" customHeight="1" thickBot="1">
      <c r="A27" s="804" t="s">
        <v>283</v>
      </c>
      <c r="B27" s="805"/>
      <c r="C27" s="805"/>
      <c r="D27" s="805"/>
      <c r="E27" s="805"/>
      <c r="F27" s="805"/>
      <c r="G27" s="805"/>
      <c r="H27" s="805"/>
      <c r="I27" s="805"/>
      <c r="J27" s="806"/>
      <c r="K27" s="280"/>
      <c r="L27" s="279"/>
      <c r="M27" s="390"/>
      <c r="N27" s="390"/>
      <c r="O27" s="390"/>
      <c r="P27" s="390"/>
      <c r="Q27" s="279"/>
    </row>
    <row r="28" spans="1:17" ht="20.100000000000001" customHeight="1" thickBot="1">
      <c r="A28" s="475"/>
      <c r="B28" s="475"/>
      <c r="C28" s="475"/>
      <c r="D28" s="476"/>
      <c r="E28" s="476"/>
      <c r="F28" s="476"/>
      <c r="G28" s="472"/>
      <c r="H28" s="472"/>
      <c r="I28" s="472"/>
      <c r="J28" s="472"/>
    </row>
    <row r="29" spans="1:17" ht="20.100000000000001" customHeight="1" thickTop="1" thickBot="1">
      <c r="A29" s="712" t="s">
        <v>242</v>
      </c>
      <c r="B29" s="713"/>
      <c r="C29" s="713"/>
      <c r="D29" s="713"/>
      <c r="E29" s="713"/>
      <c r="F29" s="713"/>
      <c r="G29" s="713"/>
      <c r="H29" s="713"/>
      <c r="I29" s="713"/>
      <c r="J29" s="714"/>
    </row>
    <row r="30" spans="1:17" ht="20.100000000000001" customHeight="1">
      <c r="A30" s="785" t="s">
        <v>119</v>
      </c>
      <c r="B30" s="305"/>
      <c r="C30" s="477"/>
      <c r="D30" s="477"/>
      <c r="E30" s="478"/>
      <c r="F30" s="787" t="s">
        <v>118</v>
      </c>
      <c r="G30" s="479"/>
      <c r="H30" s="477"/>
      <c r="I30" s="477"/>
      <c r="J30" s="480"/>
      <c r="K30" s="275"/>
    </row>
    <row r="31" spans="1:17" ht="20.100000000000001" customHeight="1">
      <c r="A31" s="786"/>
      <c r="B31" s="304"/>
      <c r="C31" s="481"/>
      <c r="D31" s="481"/>
      <c r="E31" s="482"/>
      <c r="F31" s="788"/>
      <c r="G31" s="483"/>
      <c r="H31" s="481"/>
      <c r="I31" s="481"/>
      <c r="J31" s="484"/>
      <c r="K31" s="275"/>
    </row>
    <row r="32" spans="1:17" ht="20.100000000000001" customHeight="1">
      <c r="A32" s="306" t="s">
        <v>202</v>
      </c>
      <c r="B32" s="807">
        <f>'Input Data'!C77</f>
        <v>0</v>
      </c>
      <c r="C32" s="807"/>
      <c r="D32" s="807">
        <f>B32</f>
        <v>0</v>
      </c>
      <c r="E32" s="808"/>
      <c r="F32" s="303" t="s">
        <v>203</v>
      </c>
      <c r="G32" s="822">
        <f>'Input Data'!C81</f>
        <v>0</v>
      </c>
      <c r="H32" s="822"/>
      <c r="I32" s="822">
        <f>G32</f>
        <v>0</v>
      </c>
      <c r="J32" s="823"/>
      <c r="K32" s="275"/>
    </row>
    <row r="33" spans="1:17" ht="20.100000000000001" customHeight="1">
      <c r="A33" s="307" t="s">
        <v>204</v>
      </c>
      <c r="B33" s="302">
        <f>'Input Data'!C78</f>
        <v>0</v>
      </c>
      <c r="C33" s="461" t="s">
        <v>112</v>
      </c>
      <c r="D33" s="302">
        <f>B33*Lists!B9/1.8</f>
        <v>0</v>
      </c>
      <c r="E33" s="485" t="s">
        <v>295</v>
      </c>
      <c r="F33" s="415" t="s">
        <v>205</v>
      </c>
      <c r="G33" s="488">
        <f>'Input Data'!C82</f>
        <v>0</v>
      </c>
      <c r="H33" s="387" t="s">
        <v>112</v>
      </c>
      <c r="I33" s="488">
        <f>G33*Lists!B9/1.8</f>
        <v>0</v>
      </c>
      <c r="J33" s="394" t="s">
        <v>295</v>
      </c>
      <c r="K33" s="275"/>
    </row>
    <row r="34" spans="1:17" ht="20.100000000000001" customHeight="1" thickBot="1">
      <c r="A34" s="308" t="s">
        <v>206</v>
      </c>
      <c r="B34" s="309">
        <v>0</v>
      </c>
      <c r="C34" s="462" t="s">
        <v>207</v>
      </c>
      <c r="D34" s="512">
        <f>B34*Lists!B9/1.8^2</f>
        <v>0</v>
      </c>
      <c r="E34" s="486" t="s">
        <v>296</v>
      </c>
      <c r="F34" s="782"/>
      <c r="G34" s="783"/>
      <c r="H34" s="783"/>
      <c r="I34" s="783"/>
      <c r="J34" s="784"/>
      <c r="K34" s="275"/>
    </row>
    <row r="35" spans="1:17" s="277" customFormat="1" ht="20.100000000000001" customHeight="1" thickTop="1" thickBot="1">
      <c r="A35" s="301"/>
      <c r="B35" s="276">
        <v>6.0000000000000001E-3</v>
      </c>
      <c r="C35" s="313"/>
      <c r="D35" s="276"/>
      <c r="E35" s="313"/>
      <c r="F35" s="474"/>
      <c r="G35" s="474"/>
      <c r="H35" s="474"/>
      <c r="I35" s="474"/>
      <c r="J35" s="313"/>
    </row>
    <row r="36" spans="1:17" ht="20.100000000000001" customHeight="1" thickTop="1" thickBot="1">
      <c r="A36" s="712" t="s">
        <v>277</v>
      </c>
      <c r="B36" s="713"/>
      <c r="C36" s="713"/>
      <c r="D36" s="713"/>
      <c r="E36" s="713"/>
      <c r="F36" s="714"/>
      <c r="G36" s="795" t="s">
        <v>159</v>
      </c>
      <c r="H36" s="795"/>
      <c r="I36" s="795"/>
      <c r="J36" s="796"/>
    </row>
    <row r="37" spans="1:17" ht="20.100000000000001" customHeight="1">
      <c r="A37" s="392" t="s">
        <v>208</v>
      </c>
      <c r="B37" s="801" t="s">
        <v>278</v>
      </c>
      <c r="C37" s="802"/>
      <c r="D37" s="391" t="s">
        <v>280</v>
      </c>
      <c r="E37" s="801" t="s">
        <v>272</v>
      </c>
      <c r="F37" s="803"/>
      <c r="G37" s="799" t="s">
        <v>276</v>
      </c>
      <c r="H37" s="799"/>
      <c r="I37" s="799"/>
      <c r="J37" s="800"/>
    </row>
    <row r="38" spans="1:17" ht="20.100000000000001" customHeight="1">
      <c r="A38" s="393">
        <v>0</v>
      </c>
      <c r="B38" s="384">
        <f>($B$32-$B$33*(A38/1000)-$B$34*(A38^2/1000))*$G$49*1000</f>
        <v>0</v>
      </c>
      <c r="C38" s="385" t="s">
        <v>273</v>
      </c>
      <c r="D38" s="383">
        <f>A38*1.8</f>
        <v>0</v>
      </c>
      <c r="E38" s="386">
        <f>B38*Lists!$B$2</f>
        <v>0</v>
      </c>
      <c r="F38" s="394" t="s">
        <v>158</v>
      </c>
      <c r="G38" s="388"/>
      <c r="H38" s="388"/>
      <c r="I38" s="388"/>
      <c r="J38" s="389"/>
    </row>
    <row r="39" spans="1:17" ht="20.100000000000001" customHeight="1">
      <c r="A39" s="393">
        <v>20</v>
      </c>
      <c r="B39" s="384">
        <f>($B$32-$B$33*(A39/1000)-$B$34*(A39^2/1000))*$G$49*1000</f>
        <v>0</v>
      </c>
      <c r="C39" s="385" t="s">
        <v>273</v>
      </c>
      <c r="D39" s="382">
        <f t="shared" ref="D39:D41" si="12">A39*1.8</f>
        <v>36</v>
      </c>
      <c r="E39" s="386">
        <f>B39*Lists!$B$2</f>
        <v>0</v>
      </c>
      <c r="F39" s="394" t="s">
        <v>158</v>
      </c>
      <c r="G39" s="388"/>
      <c r="H39" s="388"/>
      <c r="I39" s="388"/>
      <c r="J39" s="389"/>
    </row>
    <row r="40" spans="1:17" ht="20.100000000000001" customHeight="1" thickBot="1">
      <c r="A40" s="393">
        <v>50</v>
      </c>
      <c r="B40" s="384">
        <f>($B$32-$B$33*(A40/1000)-$B$34*(A40^2/1000))*$G$49*1000</f>
        <v>0</v>
      </c>
      <c r="C40" s="385" t="s">
        <v>273</v>
      </c>
      <c r="D40" s="382">
        <f t="shared" si="12"/>
        <v>90</v>
      </c>
      <c r="E40" s="386">
        <f>B40*Lists!$B$2</f>
        <v>0</v>
      </c>
      <c r="F40" s="394" t="s">
        <v>158</v>
      </c>
      <c r="G40" s="463" t="s">
        <v>279</v>
      </c>
      <c r="H40" s="464"/>
      <c r="I40" s="464"/>
      <c r="J40" s="465"/>
    </row>
    <row r="41" spans="1:17" ht="20.100000000000001" customHeight="1" thickBot="1">
      <c r="A41" s="395">
        <v>80</v>
      </c>
      <c r="B41" s="396">
        <f>($B$32-$B$33*(A41/1000)-$B$34*(A41^2/1000))*$G$49*1000</f>
        <v>0</v>
      </c>
      <c r="C41" s="397" t="s">
        <v>273</v>
      </c>
      <c r="D41" s="398">
        <f t="shared" si="12"/>
        <v>144</v>
      </c>
      <c r="E41" s="399">
        <f>B41*Lists!$B$2</f>
        <v>0</v>
      </c>
      <c r="F41" s="400" t="s">
        <v>158</v>
      </c>
      <c r="G41" s="797" t="s">
        <v>282</v>
      </c>
      <c r="H41" s="797"/>
      <c r="I41" s="797"/>
      <c r="J41" s="798"/>
    </row>
    <row r="42" spans="1:17" ht="20.100000000000001" customHeight="1" thickTop="1" thickBot="1">
      <c r="A42" s="487" t="s">
        <v>253</v>
      </c>
      <c r="B42" s="466" t="s">
        <v>281</v>
      </c>
      <c r="C42" s="467" t="e">
        <f>'Input Data'!C73</f>
        <v>#DIV/0!</v>
      </c>
      <c r="D42" s="468" t="s">
        <v>24</v>
      </c>
      <c r="E42" s="469" t="e">
        <f>C42*Lists!B12</f>
        <v>#DIV/0!</v>
      </c>
      <c r="F42" s="470" t="s">
        <v>25</v>
      </c>
      <c r="G42" s="502" t="e">
        <f>IF(B34&gt;0,30+(-$B$33+SQRT($B$33^2+(4*$B$32*$B$34*1000)))/(2*$B$34),30+(1000*B32/B33))</f>
        <v>#DIV/0!</v>
      </c>
      <c r="H42" s="367" t="s">
        <v>274</v>
      </c>
      <c r="I42" s="471" t="e">
        <f>(G42*1.8)+32</f>
        <v>#DIV/0!</v>
      </c>
      <c r="J42" s="381" t="s">
        <v>275</v>
      </c>
    </row>
    <row r="43" spans="1:17" ht="20.100000000000001" customHeight="1" thickTop="1" thickBot="1">
      <c r="A43" s="281"/>
      <c r="B43" s="281"/>
      <c r="C43" s="268"/>
      <c r="D43" s="460"/>
      <c r="E43" s="460"/>
      <c r="F43" s="460"/>
      <c r="G43" s="282"/>
      <c r="H43" s="269"/>
      <c r="I43" s="472"/>
      <c r="J43" s="472"/>
    </row>
    <row r="44" spans="1:17" ht="20.100000000000001" customHeight="1" thickTop="1">
      <c r="A44" s="779" t="s">
        <v>155</v>
      </c>
      <c r="B44" s="780"/>
      <c r="C44" s="780"/>
      <c r="D44" s="780"/>
      <c r="E44" s="780"/>
      <c r="F44" s="780"/>
      <c r="G44" s="780"/>
      <c r="H44" s="780"/>
      <c r="I44" s="780"/>
      <c r="J44" s="781"/>
    </row>
    <row r="45" spans="1:17" ht="20.100000000000001" customHeight="1">
      <c r="A45" s="775" t="s">
        <v>209</v>
      </c>
      <c r="B45" s="776"/>
      <c r="C45" s="294" t="s">
        <v>260</v>
      </c>
      <c r="D45" s="294">
        <v>10</v>
      </c>
      <c r="E45" s="294">
        <v>20</v>
      </c>
      <c r="F45" s="294">
        <v>30</v>
      </c>
      <c r="G45" s="295">
        <v>40</v>
      </c>
      <c r="H45" s="295">
        <v>50</v>
      </c>
      <c r="I45" s="295">
        <v>60</v>
      </c>
      <c r="J45" s="296">
        <v>70</v>
      </c>
      <c r="K45" s="269"/>
    </row>
    <row r="46" spans="1:17" ht="20.100000000000001" customHeight="1" thickBot="1">
      <c r="A46" s="777" t="s">
        <v>210</v>
      </c>
      <c r="B46" s="778"/>
      <c r="C46" s="297">
        <v>1</v>
      </c>
      <c r="D46" s="297">
        <f>'Input Data'!D86</f>
        <v>0</v>
      </c>
      <c r="E46" s="297">
        <f>'Input Data'!E86</f>
        <v>0</v>
      </c>
      <c r="F46" s="297">
        <f>'Input Data'!F86</f>
        <v>0</v>
      </c>
      <c r="G46" s="297">
        <f>'Input Data'!G86</f>
        <v>0</v>
      </c>
      <c r="H46" s="297">
        <f>'Input Data'!H86</f>
        <v>0</v>
      </c>
      <c r="I46" s="297">
        <f>'Input Data'!I86</f>
        <v>0</v>
      </c>
      <c r="J46" s="298">
        <f>'Input Data'!J86</f>
        <v>0</v>
      </c>
      <c r="K46" s="283"/>
    </row>
    <row r="47" spans="1:17" ht="20.100000000000001" customHeight="1" thickTop="1" thickBot="1">
      <c r="A47" s="473"/>
      <c r="B47" s="473"/>
      <c r="C47" s="473"/>
      <c r="D47" s="473"/>
      <c r="E47" s="473"/>
      <c r="F47" s="473"/>
      <c r="G47" s="474"/>
      <c r="H47" s="474"/>
      <c r="I47" s="474"/>
      <c r="J47" s="474"/>
    </row>
    <row r="48" spans="1:17" ht="20.100000000000001" customHeight="1" thickTop="1" thickBot="1">
      <c r="A48" s="712" t="s">
        <v>197</v>
      </c>
      <c r="B48" s="713"/>
      <c r="C48" s="713"/>
      <c r="D48" s="713"/>
      <c r="E48" s="713"/>
      <c r="F48" s="713"/>
      <c r="G48" s="713"/>
      <c r="H48" s="713"/>
      <c r="I48" s="713"/>
      <c r="J48" s="714"/>
      <c r="K48" s="280"/>
      <c r="L48" s="279"/>
      <c r="M48" s="279"/>
      <c r="N48" s="279"/>
      <c r="O48" s="279"/>
      <c r="P48" s="279"/>
      <c r="Q48" s="279"/>
    </row>
    <row r="49" spans="1:17" ht="20.100000000000001" customHeight="1">
      <c r="A49" s="733" t="s">
        <v>225</v>
      </c>
      <c r="B49" s="734"/>
      <c r="C49" s="735">
        <f>'Input Data'!C24</f>
        <v>0</v>
      </c>
      <c r="D49" s="736"/>
      <c r="E49" s="774" t="s">
        <v>218</v>
      </c>
      <c r="F49" s="734"/>
      <c r="G49" s="434">
        <f>'Input Data'!C31</f>
        <v>0</v>
      </c>
      <c r="H49" s="457" t="s">
        <v>219</v>
      </c>
      <c r="I49" s="505">
        <f>IF(ISERROR(G49*Lists!$B$8),"na",(G49*Lists!$B$8))</f>
        <v>0</v>
      </c>
      <c r="J49" s="458" t="s">
        <v>220</v>
      </c>
      <c r="K49" s="280"/>
      <c r="L49" s="279"/>
      <c r="M49" s="279"/>
      <c r="N49" s="279"/>
      <c r="O49" s="279"/>
      <c r="P49" s="279"/>
      <c r="Q49" s="279"/>
    </row>
    <row r="50" spans="1:17" ht="20.100000000000001" customHeight="1">
      <c r="A50" s="529" t="s">
        <v>226</v>
      </c>
      <c r="B50" s="530"/>
      <c r="C50" s="717">
        <f>'Input Data'!C25</f>
        <v>0</v>
      </c>
      <c r="D50" s="727"/>
      <c r="E50" s="710" t="s">
        <v>221</v>
      </c>
      <c r="F50" s="530"/>
      <c r="G50" s="435">
        <f>'Input Data'!C32</f>
        <v>0</v>
      </c>
      <c r="H50" s="441" t="s">
        <v>219</v>
      </c>
      <c r="I50" s="506">
        <f>IF(ISERROR(G50*Lists!$B$8),"na",(G50*Lists!$B$8))</f>
        <v>0</v>
      </c>
      <c r="J50" s="444" t="s">
        <v>220</v>
      </c>
      <c r="K50" s="280"/>
      <c r="L50" s="279"/>
      <c r="M50" s="279"/>
      <c r="N50" s="279"/>
      <c r="O50" s="279"/>
      <c r="P50" s="279"/>
      <c r="Q50" s="279"/>
    </row>
    <row r="51" spans="1:17" ht="20.100000000000001" customHeight="1">
      <c r="A51" s="413"/>
      <c r="B51" s="414" t="s">
        <v>201</v>
      </c>
      <c r="C51" s="717">
        <f>'Input Data'!C26</f>
        <v>0</v>
      </c>
      <c r="D51" s="727"/>
      <c r="E51" s="710" t="s">
        <v>222</v>
      </c>
      <c r="F51" s="530"/>
      <c r="G51" s="435">
        <f>'Input Data'!C33</f>
        <v>0</v>
      </c>
      <c r="H51" s="441" t="s">
        <v>219</v>
      </c>
      <c r="I51" s="506">
        <f>IF(ISERROR(G51*Lists!$B$8),"na",(G51*Lists!$B$8))</f>
        <v>0</v>
      </c>
      <c r="J51" s="444" t="s">
        <v>220</v>
      </c>
      <c r="K51" s="280"/>
      <c r="L51" s="279"/>
      <c r="M51" s="279"/>
      <c r="N51" s="279"/>
      <c r="O51" s="279"/>
      <c r="P51" s="279"/>
      <c r="Q51" s="279"/>
    </row>
    <row r="52" spans="1:17" ht="20.100000000000001" customHeight="1">
      <c r="A52" s="529" t="s">
        <v>224</v>
      </c>
      <c r="B52" s="530"/>
      <c r="C52" s="717">
        <f>'Input Data'!C27</f>
        <v>0</v>
      </c>
      <c r="D52" s="727"/>
      <c r="E52" s="710" t="s">
        <v>21</v>
      </c>
      <c r="F52" s="530"/>
      <c r="G52" s="436">
        <f>'Input Data'!C34</f>
        <v>0</v>
      </c>
      <c r="H52" s="441" t="s">
        <v>22</v>
      </c>
      <c r="I52" s="506">
        <f>IF(ISERROR(G52*Lists!$B$6),"na",(G52*Lists!$B$6))</f>
        <v>0</v>
      </c>
      <c r="J52" s="444" t="s">
        <v>28</v>
      </c>
      <c r="K52" s="280"/>
      <c r="L52" s="279"/>
      <c r="M52" s="279"/>
      <c r="N52" s="279"/>
      <c r="O52" s="279"/>
      <c r="P52" s="279"/>
      <c r="Q52" s="279"/>
    </row>
    <row r="53" spans="1:17" ht="20.100000000000001" customHeight="1">
      <c r="A53" s="529" t="s">
        <v>227</v>
      </c>
      <c r="B53" s="530"/>
      <c r="C53" s="717">
        <f>'Input Data'!C28</f>
        <v>0</v>
      </c>
      <c r="D53" s="727"/>
      <c r="E53" s="710" t="s">
        <v>23</v>
      </c>
      <c r="F53" s="530"/>
      <c r="G53" s="436">
        <f>'Input Data'!C35</f>
        <v>0</v>
      </c>
      <c r="H53" s="441" t="s">
        <v>22</v>
      </c>
      <c r="I53" s="506">
        <f>IF(ISERROR(G53*Lists!$B$6),"na",(G53*Lists!$B$6))</f>
        <v>0</v>
      </c>
      <c r="J53" s="444" t="s">
        <v>28</v>
      </c>
      <c r="K53" s="280"/>
      <c r="L53" s="279"/>
      <c r="M53" s="279"/>
      <c r="N53" s="279"/>
      <c r="O53" s="279"/>
      <c r="P53" s="279"/>
      <c r="Q53" s="279"/>
    </row>
    <row r="54" spans="1:17" ht="20.100000000000001" customHeight="1">
      <c r="A54" s="529" t="s">
        <v>228</v>
      </c>
      <c r="B54" s="530"/>
      <c r="C54" s="717">
        <f>'Input Data'!C29</f>
        <v>0</v>
      </c>
      <c r="D54" s="727"/>
      <c r="E54" s="710" t="s">
        <v>301</v>
      </c>
      <c r="F54" s="530"/>
      <c r="G54" s="436">
        <f>'Input Data'!C36</f>
        <v>0</v>
      </c>
      <c r="H54" s="441" t="s">
        <v>22</v>
      </c>
      <c r="I54" s="506">
        <f>IF(ISERROR(G54*Lists!$B$6),"na",(G54*Lists!$B$6))</f>
        <v>0</v>
      </c>
      <c r="J54" s="444" t="s">
        <v>28</v>
      </c>
      <c r="K54" s="280"/>
      <c r="L54" s="279"/>
      <c r="M54" s="279"/>
      <c r="N54" s="279"/>
      <c r="O54" s="279"/>
      <c r="P54" s="279"/>
      <c r="Q54" s="279"/>
    </row>
    <row r="55" spans="1:17" ht="20.100000000000001" customHeight="1" thickBot="1">
      <c r="A55" s="730" t="s">
        <v>200</v>
      </c>
      <c r="B55" s="729"/>
      <c r="C55" s="731">
        <f>'Input Data'!C30</f>
        <v>0</v>
      </c>
      <c r="D55" s="732"/>
      <c r="E55" s="728" t="s">
        <v>199</v>
      </c>
      <c r="F55" s="729"/>
      <c r="G55" s="433">
        <f>'Input Data'!C37</f>
        <v>0</v>
      </c>
      <c r="H55" s="432" t="s">
        <v>26</v>
      </c>
      <c r="I55" s="507">
        <f>IF(ISERROR(G55*Lists!$B$8),"na",(G55*Lists!$B$14))</f>
        <v>0</v>
      </c>
      <c r="J55" s="459" t="s">
        <v>198</v>
      </c>
      <c r="K55" s="280"/>
      <c r="L55" s="279"/>
      <c r="M55" s="279"/>
      <c r="N55" s="279"/>
      <c r="O55" s="279"/>
      <c r="P55" s="279"/>
      <c r="Q55" s="279"/>
    </row>
    <row r="56" spans="1:17" ht="20.100000000000001" customHeight="1">
      <c r="A56" s="740" t="s">
        <v>196</v>
      </c>
      <c r="B56" s="741"/>
      <c r="C56" s="741"/>
      <c r="D56" s="741"/>
      <c r="E56" s="741"/>
      <c r="F56" s="741"/>
      <c r="G56" s="741"/>
      <c r="H56" s="741"/>
      <c r="I56" s="741"/>
      <c r="J56" s="742"/>
      <c r="K56" s="280"/>
      <c r="L56" s="279"/>
      <c r="M56" s="279"/>
      <c r="N56" s="279"/>
      <c r="O56" s="279"/>
      <c r="P56" s="279"/>
      <c r="Q56" s="279"/>
    </row>
    <row r="57" spans="1:17" ht="20.100000000000001" customHeight="1">
      <c r="A57" s="529" t="s">
        <v>174</v>
      </c>
      <c r="B57" s="530"/>
      <c r="C57" s="717">
        <f>'Input Data'!C39</f>
        <v>0</v>
      </c>
      <c r="D57" s="727"/>
      <c r="E57" s="710" t="s">
        <v>290</v>
      </c>
      <c r="F57" s="530"/>
      <c r="G57" s="437">
        <f>'Input Data'!C46</f>
        <v>0</v>
      </c>
      <c r="H57" s="420" t="s">
        <v>27</v>
      </c>
      <c r="I57" s="438">
        <f>IF(ISERROR(G57*Lists!$B$7),"na",(G57*Lists!$B$7))</f>
        <v>0</v>
      </c>
      <c r="J57" s="423" t="s">
        <v>28</v>
      </c>
      <c r="K57" s="286"/>
      <c r="L57" s="279"/>
      <c r="M57" s="279"/>
      <c r="N57" s="279"/>
      <c r="O57" s="279"/>
      <c r="P57" s="279"/>
      <c r="Q57" s="279"/>
    </row>
    <row r="58" spans="1:17" ht="20.100000000000001" customHeight="1">
      <c r="A58" s="529" t="s">
        <v>168</v>
      </c>
      <c r="B58" s="530"/>
      <c r="C58" s="717">
        <f>'Input Data'!C40</f>
        <v>0</v>
      </c>
      <c r="D58" s="727"/>
      <c r="E58" s="710" t="s">
        <v>291</v>
      </c>
      <c r="F58" s="530"/>
      <c r="G58" s="503">
        <f>'Input Data'!C47</f>
        <v>0</v>
      </c>
      <c r="H58" s="420" t="s">
        <v>27</v>
      </c>
      <c r="I58" s="437">
        <f>IF(ISERROR(G58*Lists!$B$7),"na",(G58*Lists!$B$7))</f>
        <v>0</v>
      </c>
      <c r="J58" s="423" t="s">
        <v>28</v>
      </c>
      <c r="K58" s="286"/>
      <c r="L58" s="279"/>
      <c r="M58" s="279"/>
      <c r="N58" s="279"/>
      <c r="O58" s="279"/>
      <c r="P58" s="279"/>
      <c r="Q58" s="279"/>
    </row>
    <row r="59" spans="1:17" ht="20.100000000000001" customHeight="1">
      <c r="A59" s="529" t="s">
        <v>169</v>
      </c>
      <c r="B59" s="530"/>
      <c r="C59" s="717">
        <f>'Input Data'!C41</f>
        <v>0</v>
      </c>
      <c r="D59" s="727"/>
      <c r="E59" s="710" t="s">
        <v>292</v>
      </c>
      <c r="F59" s="530"/>
      <c r="G59" s="503">
        <f>'Input Data'!C48</f>
        <v>0</v>
      </c>
      <c r="H59" s="420" t="s">
        <v>27</v>
      </c>
      <c r="I59" s="437">
        <f>IF(ISERROR(G59*Lists!$B$7),"na",(G59*Lists!$B$7))</f>
        <v>0</v>
      </c>
      <c r="J59" s="423" t="s">
        <v>28</v>
      </c>
      <c r="K59" s="286"/>
      <c r="L59" s="279"/>
      <c r="M59" s="279"/>
      <c r="N59" s="279"/>
      <c r="O59" s="279"/>
      <c r="P59" s="279"/>
      <c r="Q59" s="279"/>
    </row>
    <row r="60" spans="1:17" ht="20.100000000000001" customHeight="1">
      <c r="A60" s="529" t="s">
        <v>170</v>
      </c>
      <c r="B60" s="530"/>
      <c r="C60" s="717">
        <f>'Input Data'!C42</f>
        <v>0</v>
      </c>
      <c r="D60" s="727"/>
      <c r="E60" s="710" t="s">
        <v>293</v>
      </c>
      <c r="F60" s="530"/>
      <c r="G60" s="503">
        <f>'Input Data'!C49</f>
        <v>0</v>
      </c>
      <c r="H60" s="420" t="s">
        <v>27</v>
      </c>
      <c r="I60" s="437">
        <f>IF(ISERROR(G60*Lists!$B$7),"na",(G60*Lists!$B$7))</f>
        <v>0</v>
      </c>
      <c r="J60" s="423" t="s">
        <v>28</v>
      </c>
      <c r="K60" s="286"/>
      <c r="L60" s="279"/>
      <c r="M60" s="279"/>
      <c r="N60" s="279"/>
      <c r="O60" s="279"/>
      <c r="P60" s="279"/>
      <c r="Q60" s="279"/>
    </row>
    <row r="61" spans="1:17" ht="20.100000000000001" customHeight="1">
      <c r="A61" s="529" t="s">
        <v>171</v>
      </c>
      <c r="B61" s="530"/>
      <c r="C61" s="717">
        <f>'Input Data'!C43</f>
        <v>0</v>
      </c>
      <c r="D61" s="727"/>
      <c r="E61" s="710" t="s">
        <v>294</v>
      </c>
      <c r="F61" s="530"/>
      <c r="G61" s="503">
        <f>'Input Data'!C50</f>
        <v>0</v>
      </c>
      <c r="H61" s="420" t="s">
        <v>27</v>
      </c>
      <c r="I61" s="437">
        <f>IF(ISERROR(G61*Lists!$B$7),"na",(G61*Lists!$B$7))</f>
        <v>0</v>
      </c>
      <c r="J61" s="423" t="s">
        <v>28</v>
      </c>
      <c r="K61" s="286"/>
      <c r="L61" s="279"/>
      <c r="M61" s="279"/>
      <c r="N61" s="279"/>
      <c r="O61" s="279"/>
      <c r="P61" s="279"/>
      <c r="Q61" s="279"/>
    </row>
    <row r="62" spans="1:17" ht="20.100000000000001" customHeight="1">
      <c r="A62" s="529" t="s">
        <v>172</v>
      </c>
      <c r="B62" s="530"/>
      <c r="C62" s="717">
        <f>'Input Data'!C44</f>
        <v>0</v>
      </c>
      <c r="D62" s="727"/>
      <c r="E62" s="743"/>
      <c r="F62" s="744"/>
      <c r="G62" s="429"/>
      <c r="H62" s="420"/>
      <c r="I62" s="419"/>
      <c r="J62" s="423"/>
      <c r="K62" s="280"/>
      <c r="L62" s="279"/>
      <c r="M62" s="279"/>
      <c r="N62" s="279"/>
      <c r="O62" s="279"/>
      <c r="P62" s="279"/>
      <c r="Q62" s="279"/>
    </row>
    <row r="63" spans="1:17" ht="20.100000000000001" customHeight="1" thickBot="1">
      <c r="A63" s="730" t="s">
        <v>173</v>
      </c>
      <c r="B63" s="729"/>
      <c r="C63" s="731">
        <f>'Input Data'!C45</f>
        <v>0</v>
      </c>
      <c r="D63" s="732"/>
      <c r="E63" s="745"/>
      <c r="F63" s="746"/>
      <c r="G63" s="430"/>
      <c r="H63" s="425"/>
      <c r="I63" s="426"/>
      <c r="J63" s="428"/>
      <c r="K63" s="280"/>
      <c r="L63" s="279"/>
      <c r="M63" s="279"/>
      <c r="N63" s="279"/>
      <c r="O63" s="279"/>
      <c r="P63" s="279"/>
      <c r="Q63" s="279"/>
    </row>
    <row r="64" spans="1:17" ht="20.100000000000001" customHeight="1">
      <c r="A64" s="740" t="s">
        <v>195</v>
      </c>
      <c r="B64" s="741"/>
      <c r="C64" s="741"/>
      <c r="D64" s="741"/>
      <c r="E64" s="741"/>
      <c r="F64" s="741"/>
      <c r="G64" s="741"/>
      <c r="H64" s="741"/>
      <c r="I64" s="741"/>
      <c r="J64" s="742"/>
      <c r="K64" s="280"/>
      <c r="L64" s="279"/>
      <c r="M64" s="279"/>
      <c r="N64" s="279"/>
      <c r="O64" s="279"/>
      <c r="P64" s="279"/>
      <c r="Q64" s="279"/>
    </row>
    <row r="65" spans="1:17" ht="20.100000000000001" customHeight="1">
      <c r="A65" s="529" t="s">
        <v>180</v>
      </c>
      <c r="B65" s="558"/>
      <c r="C65" s="717">
        <f>'Input Data'!C53</f>
        <v>0</v>
      </c>
      <c r="D65" s="727"/>
      <c r="E65" s="710" t="s">
        <v>183</v>
      </c>
      <c r="F65" s="530"/>
      <c r="G65" s="437">
        <f>'Input Data'!C57</f>
        <v>0</v>
      </c>
      <c r="H65" s="420" t="s">
        <v>27</v>
      </c>
      <c r="I65" s="439">
        <f>IF(ISERROR(G65*Lists!$B$7),"na",(G65*Lists!$B$7))</f>
        <v>0</v>
      </c>
      <c r="J65" s="423" t="s">
        <v>28</v>
      </c>
      <c r="K65" s="280"/>
      <c r="L65" s="279"/>
      <c r="M65" s="279"/>
      <c r="N65" s="279"/>
      <c r="O65" s="279"/>
      <c r="P65" s="279"/>
      <c r="Q65" s="279"/>
    </row>
    <row r="66" spans="1:17" ht="20.100000000000001" customHeight="1">
      <c r="A66" s="529" t="s">
        <v>181</v>
      </c>
      <c r="B66" s="558"/>
      <c r="C66" s="717">
        <f>'Input Data'!C54</f>
        <v>0</v>
      </c>
      <c r="D66" s="727"/>
      <c r="E66" s="710" t="s">
        <v>184</v>
      </c>
      <c r="F66" s="530"/>
      <c r="G66" s="419">
        <f>'Input Data'!C58</f>
        <v>0</v>
      </c>
      <c r="H66" s="420" t="s">
        <v>27</v>
      </c>
      <c r="I66" s="439">
        <f>IF(ISERROR(G66*Lists!$B$7),"na",(G66*Lists!$B$7))</f>
        <v>0</v>
      </c>
      <c r="J66" s="423" t="s">
        <v>28</v>
      </c>
      <c r="K66" s="280"/>
      <c r="L66" s="279"/>
      <c r="M66" s="279"/>
      <c r="N66" s="279"/>
      <c r="O66" s="279"/>
      <c r="P66" s="279"/>
      <c r="Q66" s="279"/>
    </row>
    <row r="67" spans="1:17" ht="20.100000000000001" customHeight="1">
      <c r="A67" s="529" t="s">
        <v>182</v>
      </c>
      <c r="B67" s="558"/>
      <c r="C67" s="717">
        <f>'Input Data'!C55</f>
        <v>0</v>
      </c>
      <c r="D67" s="727"/>
      <c r="E67" s="710" t="s">
        <v>185</v>
      </c>
      <c r="F67" s="530"/>
      <c r="G67" s="419">
        <f>'Input Data'!C59</f>
        <v>0</v>
      </c>
      <c r="H67" s="420" t="s">
        <v>27</v>
      </c>
      <c r="I67" s="439">
        <f>IF(ISERROR(G67*Lists!$B$7),"na",(G67*Lists!$B$7))</f>
        <v>0</v>
      </c>
      <c r="J67" s="423" t="s">
        <v>28</v>
      </c>
      <c r="K67" s="280"/>
      <c r="L67" s="279"/>
      <c r="M67" s="279"/>
      <c r="N67" s="279"/>
      <c r="O67" s="279"/>
      <c r="P67" s="279"/>
      <c r="Q67" s="279"/>
    </row>
    <row r="68" spans="1:17" ht="20.100000000000001" customHeight="1" thickBot="1">
      <c r="A68" s="730" t="s">
        <v>223</v>
      </c>
      <c r="B68" s="739"/>
      <c r="C68" s="731">
        <f>'Input Data'!C56</f>
        <v>0</v>
      </c>
      <c r="D68" s="732"/>
      <c r="E68" s="745"/>
      <c r="F68" s="746"/>
      <c r="G68" s="426"/>
      <c r="H68" s="425"/>
      <c r="I68" s="427"/>
      <c r="J68" s="428"/>
      <c r="K68" s="280"/>
      <c r="L68" s="279"/>
      <c r="M68" s="279"/>
      <c r="N68" s="279"/>
      <c r="O68" s="279"/>
      <c r="P68" s="279"/>
      <c r="Q68" s="279"/>
    </row>
    <row r="69" spans="1:17" ht="20.100000000000001" customHeight="1">
      <c r="A69" s="740" t="s">
        <v>186</v>
      </c>
      <c r="B69" s="741"/>
      <c r="C69" s="741"/>
      <c r="D69" s="741"/>
      <c r="E69" s="741"/>
      <c r="F69" s="741"/>
      <c r="G69" s="741"/>
      <c r="H69" s="741"/>
      <c r="I69" s="741"/>
      <c r="J69" s="742"/>
      <c r="K69" s="280"/>
      <c r="L69" s="279"/>
      <c r="M69" s="279"/>
      <c r="N69" s="279"/>
      <c r="O69" s="279"/>
      <c r="P69" s="279"/>
      <c r="Q69" s="279"/>
    </row>
    <row r="70" spans="1:17" ht="20.100000000000001" customHeight="1">
      <c r="A70" s="529" t="s">
        <v>191</v>
      </c>
      <c r="B70" s="558"/>
      <c r="C70" s="717">
        <f>'Input Data'!C61</f>
        <v>0</v>
      </c>
      <c r="D70" s="727"/>
      <c r="E70" s="558" t="s">
        <v>190</v>
      </c>
      <c r="F70" s="530"/>
      <c r="G70" s="419">
        <f>'Input Data'!C65</f>
        <v>0</v>
      </c>
      <c r="H70" s="420" t="s">
        <v>27</v>
      </c>
      <c r="I70" s="439">
        <f>IF(ISERROR(G70*Lists!$B$7),"na",G70*Lists!$B$7)</f>
        <v>0</v>
      </c>
      <c r="J70" s="423" t="s">
        <v>28</v>
      </c>
      <c r="K70" s="280"/>
      <c r="L70" s="279"/>
      <c r="M70" s="279"/>
      <c r="N70" s="279"/>
      <c r="O70" s="279"/>
      <c r="P70" s="279"/>
      <c r="Q70" s="279"/>
    </row>
    <row r="71" spans="1:17" ht="20.100000000000001" customHeight="1">
      <c r="A71" s="529" t="s">
        <v>192</v>
      </c>
      <c r="B71" s="558"/>
      <c r="C71" s="717">
        <f>'Input Data'!C62</f>
        <v>0</v>
      </c>
      <c r="D71" s="727"/>
      <c r="E71" s="558" t="s">
        <v>189</v>
      </c>
      <c r="F71" s="530"/>
      <c r="G71" s="419">
        <f>'Input Data'!C66</f>
        <v>0</v>
      </c>
      <c r="H71" s="420" t="s">
        <v>27</v>
      </c>
      <c r="I71" s="439">
        <f>IF(ISERROR(G71*Lists!$B$7),"na",G71*Lists!$B$7)</f>
        <v>0</v>
      </c>
      <c r="J71" s="423" t="s">
        <v>28</v>
      </c>
      <c r="K71" s="280"/>
      <c r="L71" s="279"/>
      <c r="M71" s="279"/>
      <c r="N71" s="279"/>
      <c r="O71" s="279"/>
      <c r="P71" s="279"/>
      <c r="Q71" s="279"/>
    </row>
    <row r="72" spans="1:17" ht="20.100000000000001" customHeight="1">
      <c r="A72" s="529" t="s">
        <v>193</v>
      </c>
      <c r="B72" s="558"/>
      <c r="C72" s="717">
        <f>'Input Data'!C63</f>
        <v>0</v>
      </c>
      <c r="D72" s="727"/>
      <c r="E72" s="558" t="s">
        <v>188</v>
      </c>
      <c r="F72" s="530"/>
      <c r="G72" s="419">
        <f>'Input Data'!C67</f>
        <v>0</v>
      </c>
      <c r="H72" s="420" t="s">
        <v>27</v>
      </c>
      <c r="I72" s="439">
        <f>IF(ISERROR(G72*Lists!$B$7),"na",G72*Lists!$B$7)</f>
        <v>0</v>
      </c>
      <c r="J72" s="423" t="s">
        <v>28</v>
      </c>
      <c r="K72" s="280"/>
      <c r="L72" s="279"/>
      <c r="M72" s="279"/>
      <c r="N72" s="279"/>
      <c r="O72" s="279"/>
      <c r="P72" s="279"/>
      <c r="Q72" s="279"/>
    </row>
    <row r="73" spans="1:17" ht="20.100000000000001" customHeight="1" thickBot="1">
      <c r="A73" s="563" t="s">
        <v>194</v>
      </c>
      <c r="B73" s="580"/>
      <c r="C73" s="737">
        <f>'Input Data'!C64</f>
        <v>0</v>
      </c>
      <c r="D73" s="738"/>
      <c r="E73" s="580" t="s">
        <v>187</v>
      </c>
      <c r="F73" s="564"/>
      <c r="G73" s="421">
        <f>'Input Data'!C68</f>
        <v>0</v>
      </c>
      <c r="H73" s="422" t="s">
        <v>27</v>
      </c>
      <c r="I73" s="440">
        <f>IF(ISERROR(G73*Lists!$B$7),"na",G73*Lists!$B$7)</f>
        <v>0</v>
      </c>
      <c r="J73" s="424" t="s">
        <v>28</v>
      </c>
      <c r="K73" s="280"/>
      <c r="L73" s="279"/>
      <c r="M73" s="279"/>
      <c r="N73" s="279"/>
      <c r="O73" s="279"/>
      <c r="P73" s="279"/>
      <c r="Q73" s="279"/>
    </row>
    <row r="74" spans="1:17" ht="20.100000000000001" customHeight="1" thickTop="1" thickBot="1">
      <c r="A74" s="460"/>
      <c r="B74" s="460"/>
      <c r="C74" s="286"/>
      <c r="D74" s="286"/>
      <c r="E74" s="286"/>
      <c r="F74" s="286"/>
      <c r="G74" s="286"/>
      <c r="H74" s="286"/>
      <c r="I74" s="286"/>
      <c r="J74" s="286"/>
      <c r="K74" s="280"/>
      <c r="L74" s="279"/>
      <c r="M74" s="279"/>
      <c r="N74" s="279"/>
      <c r="O74" s="279"/>
      <c r="P74" s="279"/>
      <c r="Q74" s="279"/>
    </row>
    <row r="75" spans="1:17" ht="20.100000000000001" customHeight="1" thickTop="1">
      <c r="A75" s="712" t="s">
        <v>229</v>
      </c>
      <c r="B75" s="713"/>
      <c r="C75" s="713"/>
      <c r="D75" s="713"/>
      <c r="E75" s="713"/>
      <c r="F75" s="713"/>
      <c r="G75" s="713"/>
      <c r="H75" s="713"/>
      <c r="I75" s="713"/>
      <c r="J75" s="714"/>
      <c r="K75" s="280"/>
      <c r="L75" s="279"/>
      <c r="M75" s="279"/>
      <c r="N75" s="279"/>
      <c r="O75" s="279"/>
      <c r="P75" s="279"/>
      <c r="Q75" s="279"/>
    </row>
    <row r="76" spans="1:17" ht="20.100000000000001" customHeight="1">
      <c r="A76" s="529" t="s">
        <v>106</v>
      </c>
      <c r="B76" s="530"/>
      <c r="C76" s="715">
        <f>'Input Data'!C7:D7</f>
        <v>0</v>
      </c>
      <c r="D76" s="716"/>
      <c r="E76" s="710" t="s">
        <v>289</v>
      </c>
      <c r="F76" s="530"/>
      <c r="G76" s="717">
        <f>'Input Data'!C13</f>
        <v>0</v>
      </c>
      <c r="H76" s="718"/>
      <c r="I76" s="718"/>
      <c r="J76" s="719"/>
      <c r="K76" s="280"/>
      <c r="L76" s="279"/>
      <c r="M76" s="279"/>
      <c r="N76" s="279"/>
      <c r="O76" s="279"/>
      <c r="P76" s="279"/>
      <c r="Q76" s="279"/>
    </row>
    <row r="77" spans="1:17" ht="20.100000000000001" customHeight="1">
      <c r="A77" s="720" t="s">
        <v>259</v>
      </c>
      <c r="B77" s="721"/>
      <c r="C77" s="448">
        <f>'Input Data'!C8</f>
        <v>0</v>
      </c>
      <c r="D77" s="449"/>
      <c r="E77" s="554" t="s">
        <v>231</v>
      </c>
      <c r="F77" s="726"/>
      <c r="G77" s="717">
        <f>'Input Data'!C16</f>
        <v>0</v>
      </c>
      <c r="H77" s="718"/>
      <c r="I77" s="718"/>
      <c r="J77" s="719"/>
      <c r="K77" s="280"/>
      <c r="L77" s="279"/>
      <c r="M77" s="279"/>
      <c r="N77" s="279"/>
      <c r="O77" s="279"/>
      <c r="P77" s="279"/>
      <c r="Q77" s="279"/>
    </row>
    <row r="78" spans="1:17" ht="20.100000000000001" customHeight="1">
      <c r="A78" s="722"/>
      <c r="B78" s="723"/>
      <c r="C78" s="450">
        <f>'Input Data'!C9</f>
        <v>0</v>
      </c>
      <c r="D78" s="451"/>
      <c r="E78" s="710" t="s">
        <v>304</v>
      </c>
      <c r="F78" s="530"/>
      <c r="G78" s="446" t="e">
        <f>'Input Data'!C17/'Input Data'!C31</f>
        <v>#DIV/0!</v>
      </c>
      <c r="H78" s="441" t="s">
        <v>305</v>
      </c>
      <c r="I78" s="431" t="e">
        <f>G78*Lists!B14*60*60</f>
        <v>#DIV/0!</v>
      </c>
      <c r="J78" s="444" t="s">
        <v>261</v>
      </c>
      <c r="K78" s="280"/>
      <c r="L78" s="279"/>
      <c r="M78" s="279"/>
      <c r="N78" s="279"/>
      <c r="O78" s="279"/>
      <c r="P78" s="279"/>
      <c r="Q78" s="279"/>
    </row>
    <row r="79" spans="1:17" ht="20.100000000000001" customHeight="1">
      <c r="A79" s="724"/>
      <c r="B79" s="725"/>
      <c r="C79" s="452">
        <f>'Input Data'!C10</f>
        <v>0</v>
      </c>
      <c r="D79" s="453"/>
      <c r="E79" s="710" t="s">
        <v>232</v>
      </c>
      <c r="F79" s="530"/>
      <c r="G79" s="431">
        <f>'Input Data'!C18</f>
        <v>0</v>
      </c>
      <c r="H79" s="441" t="s">
        <v>258</v>
      </c>
      <c r="I79" s="431">
        <f>G79*Lists!B9</f>
        <v>0</v>
      </c>
      <c r="J79" s="444" t="s">
        <v>265</v>
      </c>
      <c r="K79" s="280"/>
      <c r="L79" s="279"/>
      <c r="M79" s="279"/>
      <c r="N79" s="279"/>
      <c r="O79" s="279"/>
      <c r="P79" s="279"/>
      <c r="Q79" s="279"/>
    </row>
    <row r="80" spans="1:17" ht="20.100000000000001" customHeight="1">
      <c r="A80" s="529" t="s">
        <v>306</v>
      </c>
      <c r="B80" s="530"/>
      <c r="C80" s="521">
        <f>'Input Data'!C11</f>
        <v>0</v>
      </c>
      <c r="D80" s="454"/>
      <c r="E80" s="710" t="s">
        <v>233</v>
      </c>
      <c r="F80" s="530"/>
      <c r="G80" s="431">
        <f>'Input Data'!C19</f>
        <v>0</v>
      </c>
      <c r="H80" s="441" t="s">
        <v>117</v>
      </c>
      <c r="I80" s="431">
        <f>G80*Lists!B5</f>
        <v>0</v>
      </c>
      <c r="J80" s="444" t="s">
        <v>262</v>
      </c>
      <c r="K80" s="280"/>
      <c r="L80" s="279"/>
      <c r="M80" s="279"/>
      <c r="N80" s="279"/>
      <c r="O80" s="279"/>
      <c r="P80" s="279"/>
      <c r="Q80" s="279"/>
    </row>
    <row r="81" spans="1:17" ht="20.100000000000001" customHeight="1" thickBot="1">
      <c r="A81" s="563" t="s">
        <v>235</v>
      </c>
      <c r="B81" s="564"/>
      <c r="C81" s="455">
        <f>'Input Data'!C12:D12</f>
        <v>0</v>
      </c>
      <c r="D81" s="456"/>
      <c r="E81" s="711" t="s">
        <v>236</v>
      </c>
      <c r="F81" s="564"/>
      <c r="G81" s="442">
        <f>'Input Data'!C20</f>
        <v>0</v>
      </c>
      <c r="H81" s="443" t="s">
        <v>24</v>
      </c>
      <c r="I81" s="447">
        <f>G81*Lists!B12</f>
        <v>0</v>
      </c>
      <c r="J81" s="445" t="s">
        <v>25</v>
      </c>
      <c r="K81" s="280"/>
      <c r="L81" s="279"/>
      <c r="M81" s="279"/>
      <c r="N81" s="279"/>
      <c r="O81" s="279"/>
      <c r="P81" s="279"/>
      <c r="Q81" s="522"/>
    </row>
    <row r="82" spans="1:17" ht="20.100000000000001" customHeight="1" thickTop="1">
      <c r="A82" s="460"/>
      <c r="B82" s="460"/>
      <c r="C82" s="286"/>
      <c r="D82" s="286"/>
      <c r="E82" s="286"/>
      <c r="F82" s="286"/>
      <c r="G82" s="286"/>
      <c r="H82" s="286"/>
      <c r="I82" s="286"/>
      <c r="J82" s="286"/>
      <c r="K82" s="280"/>
      <c r="L82" s="279"/>
      <c r="M82" s="279"/>
      <c r="N82" s="279"/>
      <c r="O82" s="279"/>
      <c r="P82" s="279"/>
      <c r="Q82" s="279"/>
    </row>
    <row r="83" spans="1:17" ht="20.100000000000001" customHeight="1">
      <c r="A83" s="460"/>
      <c r="B83" s="460"/>
      <c r="C83" s="460"/>
      <c r="D83" s="460"/>
      <c r="E83" s="460"/>
      <c r="F83" s="460"/>
      <c r="G83" s="472"/>
      <c r="H83" s="472"/>
      <c r="I83" s="472"/>
      <c r="J83" s="472"/>
    </row>
    <row r="84" spans="1:17" ht="20.100000000000001" customHeight="1">
      <c r="A84" s="460"/>
      <c r="B84" s="460"/>
      <c r="C84" s="460"/>
      <c r="D84" s="460"/>
      <c r="E84" s="460"/>
      <c r="F84" s="460"/>
      <c r="G84" s="472"/>
      <c r="H84" s="472"/>
      <c r="I84" s="472"/>
      <c r="J84" s="472"/>
    </row>
    <row r="85" spans="1:17" ht="20.100000000000001" customHeight="1">
      <c r="A85" s="460"/>
      <c r="B85" s="460"/>
      <c r="C85" s="460"/>
      <c r="D85" s="460"/>
      <c r="E85" s="460"/>
      <c r="F85" s="460"/>
      <c r="G85" s="472"/>
      <c r="H85" s="472"/>
      <c r="I85" s="472"/>
      <c r="J85" s="472"/>
    </row>
    <row r="86" spans="1:17" ht="20.100000000000001" customHeight="1">
      <c r="A86" s="460"/>
      <c r="B86" s="460"/>
      <c r="C86" s="460"/>
      <c r="D86" s="460"/>
      <c r="E86" s="460"/>
      <c r="F86" s="460"/>
      <c r="G86" s="472"/>
      <c r="H86" s="472"/>
      <c r="I86" s="472"/>
      <c r="J86" s="472"/>
    </row>
    <row r="87" spans="1:17" ht="20.100000000000001" customHeight="1">
      <c r="A87" s="460"/>
      <c r="B87" s="460"/>
      <c r="C87" s="460"/>
      <c r="D87" s="460"/>
      <c r="E87" s="460"/>
      <c r="F87" s="460"/>
      <c r="G87" s="472"/>
      <c r="H87" s="472"/>
      <c r="I87" s="472"/>
      <c r="J87" s="472"/>
    </row>
    <row r="88" spans="1:17" ht="20.100000000000001" customHeight="1">
      <c r="A88" s="460"/>
      <c r="B88" s="460"/>
      <c r="C88" s="460"/>
      <c r="D88" s="460"/>
      <c r="E88" s="460"/>
      <c r="F88" s="460"/>
      <c r="G88" s="472"/>
      <c r="H88" s="472"/>
      <c r="I88" s="472"/>
      <c r="J88" s="472"/>
    </row>
    <row r="89" spans="1:17" ht="20.100000000000001" customHeight="1"/>
    <row r="90" spans="1:17" ht="20.100000000000001" customHeight="1"/>
    <row r="91" spans="1:17" ht="20.100000000000001" customHeight="1"/>
    <row r="92" spans="1:17" ht="20.100000000000001" customHeight="1"/>
    <row r="93" spans="1:17" ht="20.100000000000001" customHeight="1"/>
    <row r="94" spans="1:17" ht="20.100000000000001" customHeight="1"/>
    <row r="95" spans="1:17" ht="20.100000000000001" customHeight="1"/>
    <row r="96" spans="1:17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</sheetData>
  <mergeCells count="135">
    <mergeCell ref="D32:E32"/>
    <mergeCell ref="D18:F18"/>
    <mergeCell ref="H18:J18"/>
    <mergeCell ref="B32:C32"/>
    <mergeCell ref="D8:D9"/>
    <mergeCell ref="F8:F9"/>
    <mergeCell ref="H8:H9"/>
    <mergeCell ref="J8:J9"/>
    <mergeCell ref="C18:C19"/>
    <mergeCell ref="G18:G19"/>
    <mergeCell ref="D19:D20"/>
    <mergeCell ref="F19:F20"/>
    <mergeCell ref="H19:H20"/>
    <mergeCell ref="J19:J20"/>
    <mergeCell ref="A16:J16"/>
    <mergeCell ref="G32:H32"/>
    <mergeCell ref="I32:J32"/>
    <mergeCell ref="A48:J48"/>
    <mergeCell ref="A56:J56"/>
    <mergeCell ref="E50:F50"/>
    <mergeCell ref="E49:F49"/>
    <mergeCell ref="A45:B45"/>
    <mergeCell ref="A46:B46"/>
    <mergeCell ref="A11:B11"/>
    <mergeCell ref="A12:B12"/>
    <mergeCell ref="A13:B13"/>
    <mergeCell ref="A44:J44"/>
    <mergeCell ref="F34:J34"/>
    <mergeCell ref="A29:J29"/>
    <mergeCell ref="A30:A31"/>
    <mergeCell ref="F30:F31"/>
    <mergeCell ref="A17:J17"/>
    <mergeCell ref="A14:B14"/>
    <mergeCell ref="A15:B15"/>
    <mergeCell ref="G36:J36"/>
    <mergeCell ref="G41:J41"/>
    <mergeCell ref="A36:F36"/>
    <mergeCell ref="G37:J37"/>
    <mergeCell ref="B37:C37"/>
    <mergeCell ref="E37:F37"/>
    <mergeCell ref="A27:J27"/>
    <mergeCell ref="A1:C1"/>
    <mergeCell ref="A2:C2"/>
    <mergeCell ref="A3:C3"/>
    <mergeCell ref="D1:F1"/>
    <mergeCell ref="D2:F2"/>
    <mergeCell ref="D3:F3"/>
    <mergeCell ref="A22:B22"/>
    <mergeCell ref="A18:B21"/>
    <mergeCell ref="A7:B10"/>
    <mergeCell ref="A6:J6"/>
    <mergeCell ref="D7:F7"/>
    <mergeCell ref="C7:C8"/>
    <mergeCell ref="G7:G8"/>
    <mergeCell ref="H7:J7"/>
    <mergeCell ref="A5:J5"/>
    <mergeCell ref="A70:B70"/>
    <mergeCell ref="C70:D70"/>
    <mergeCell ref="E70:F70"/>
    <mergeCell ref="A71:B71"/>
    <mergeCell ref="A67:B67"/>
    <mergeCell ref="C67:D67"/>
    <mergeCell ref="A68:B68"/>
    <mergeCell ref="C68:D68"/>
    <mergeCell ref="C62:D62"/>
    <mergeCell ref="C63:D63"/>
    <mergeCell ref="A65:B65"/>
    <mergeCell ref="C65:D65"/>
    <mergeCell ref="A66:B66"/>
    <mergeCell ref="C66:D66"/>
    <mergeCell ref="A62:B62"/>
    <mergeCell ref="A63:B63"/>
    <mergeCell ref="A64:J64"/>
    <mergeCell ref="E62:F62"/>
    <mergeCell ref="E63:F63"/>
    <mergeCell ref="A69:J69"/>
    <mergeCell ref="E68:F68"/>
    <mergeCell ref="E73:F73"/>
    <mergeCell ref="A49:B49"/>
    <mergeCell ref="C49:D49"/>
    <mergeCell ref="A50:B50"/>
    <mergeCell ref="C50:D50"/>
    <mergeCell ref="A53:B53"/>
    <mergeCell ref="C53:D53"/>
    <mergeCell ref="A52:B52"/>
    <mergeCell ref="A54:B54"/>
    <mergeCell ref="C54:D54"/>
    <mergeCell ref="C71:D71"/>
    <mergeCell ref="E71:F71"/>
    <mergeCell ref="A72:B72"/>
    <mergeCell ref="C72:D72"/>
    <mergeCell ref="E72:F72"/>
    <mergeCell ref="A73:B73"/>
    <mergeCell ref="C73:D73"/>
    <mergeCell ref="E57:F57"/>
    <mergeCell ref="E58:F58"/>
    <mergeCell ref="E59:F59"/>
    <mergeCell ref="E60:F60"/>
    <mergeCell ref="E61:F61"/>
    <mergeCell ref="E65:F65"/>
    <mergeCell ref="E66:F66"/>
    <mergeCell ref="C51:D51"/>
    <mergeCell ref="E51:F51"/>
    <mergeCell ref="E53:F53"/>
    <mergeCell ref="E54:F54"/>
    <mergeCell ref="E55:F55"/>
    <mergeCell ref="A55:B55"/>
    <mergeCell ref="C55:D55"/>
    <mergeCell ref="E67:F67"/>
    <mergeCell ref="A60:B60"/>
    <mergeCell ref="A61:B61"/>
    <mergeCell ref="C57:D57"/>
    <mergeCell ref="C58:D58"/>
    <mergeCell ref="C59:D59"/>
    <mergeCell ref="C60:D60"/>
    <mergeCell ref="C61:D61"/>
    <mergeCell ref="A57:B57"/>
    <mergeCell ref="A58:B58"/>
    <mergeCell ref="A59:B59"/>
    <mergeCell ref="C52:D52"/>
    <mergeCell ref="E52:F52"/>
    <mergeCell ref="E80:F80"/>
    <mergeCell ref="E81:F81"/>
    <mergeCell ref="A80:B80"/>
    <mergeCell ref="A81:B81"/>
    <mergeCell ref="A75:J75"/>
    <mergeCell ref="A76:B76"/>
    <mergeCell ref="C76:D76"/>
    <mergeCell ref="E79:F79"/>
    <mergeCell ref="E76:F76"/>
    <mergeCell ref="G76:J76"/>
    <mergeCell ref="A77:B79"/>
    <mergeCell ref="E77:F77"/>
    <mergeCell ref="E78:F78"/>
    <mergeCell ref="G77:J77"/>
  </mergeCells>
  <pageMargins left="0.7" right="0.7" top="0.75" bottom="0.75" header="0.3" footer="0.3"/>
  <pageSetup scale="58" fitToHeight="2" orientation="portrait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Input Data</vt:lpstr>
      <vt:lpstr>Lists</vt:lpstr>
      <vt:lpstr>Irradiance (IP)</vt:lpstr>
      <vt:lpstr>Irradiance (SI)</vt:lpstr>
      <vt:lpstr>IAM (Numerical)</vt:lpstr>
      <vt:lpstr>IAM (Analytical)</vt:lpstr>
      <vt:lpstr>Diffuse Modifier (Numerical)</vt:lpstr>
      <vt:lpstr>Calculator (SI)</vt:lpstr>
      <vt:lpstr>Certification (Tested)</vt:lpstr>
      <vt:lpstr>Collectortype</vt:lpstr>
      <vt:lpstr>TestStandard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Outram</dc:creator>
  <cp:lastModifiedBy>Les Nelson</cp:lastModifiedBy>
  <cp:lastPrinted>2015-01-03T00:53:11Z</cp:lastPrinted>
  <dcterms:created xsi:type="dcterms:W3CDTF">2014-03-11T18:49:50Z</dcterms:created>
  <dcterms:modified xsi:type="dcterms:W3CDTF">2015-07-21T22:13:34Z</dcterms:modified>
</cp:coreProperties>
</file>