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style6.xml" ContentType="application/vnd.ms-office.chartstyle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codeName="ThisWorkbook"/>
  <bookViews>
    <workbookView xWindow="0" yWindow="0" windowWidth="21840" windowHeight="13020" tabRatio="718" activeTab="6"/>
  </bookViews>
  <sheets>
    <sheet name="Input Data" sheetId="18" r:id="rId1"/>
    <sheet name="Unit Lists" sheetId="20" r:id="rId2"/>
    <sheet name="Irradiance (SI)" sheetId="26" r:id="rId3"/>
    <sheet name="IAM, (Numerical)" sheetId="8" r:id="rId4"/>
    <sheet name="Diffuse Modifier (Numerical)" sheetId="15" r:id="rId5"/>
    <sheet name="Calculator (SI)" sheetId="14" r:id="rId6"/>
    <sheet name="Certification (Tested)" sheetId="19" r:id="rId7"/>
  </sheets>
  <definedNames>
    <definedName name="stand">'Unit Lists'!#REF!</definedName>
    <definedName name="Standards">'Unit Lists'!#REF!</definedName>
    <definedName name="TestStandard">'Unit Lists'!$A$26:$A$30</definedName>
    <definedName name="Type">'Unit Lists'!$A$21:$A$23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8"/>
  <c r="D47" i="19" l="1"/>
  <c r="E47"/>
  <c r="F47"/>
  <c r="G47"/>
  <c r="H47"/>
  <c r="I47"/>
  <c r="J47"/>
  <c r="D2" l="1"/>
  <c r="C66" i="18" l="1"/>
  <c r="C65"/>
  <c r="G69" i="19" l="1"/>
  <c r="I69" s="1"/>
  <c r="J75" i="26" l="1"/>
  <c r="I75"/>
  <c r="J73"/>
  <c r="I73"/>
  <c r="H73"/>
  <c r="J72"/>
  <c r="J70"/>
  <c r="I70"/>
  <c r="H70"/>
  <c r="H69"/>
  <c r="I68"/>
  <c r="H68"/>
  <c r="J67"/>
  <c r="I67"/>
  <c r="E76"/>
  <c r="G73"/>
  <c r="F73"/>
  <c r="E73"/>
  <c r="G72"/>
  <c r="G70"/>
  <c r="F70"/>
  <c r="E70"/>
  <c r="G68"/>
  <c r="F68"/>
  <c r="E68"/>
  <c r="G67"/>
  <c r="G40"/>
  <c r="C76"/>
  <c r="D75"/>
  <c r="C75"/>
  <c r="D74"/>
  <c r="C74"/>
  <c r="D71"/>
  <c r="C71"/>
  <c r="D70"/>
  <c r="C70"/>
  <c r="B74"/>
  <c r="B72"/>
  <c r="B71"/>
  <c r="B70"/>
  <c r="J77"/>
  <c r="I77"/>
  <c r="H77"/>
  <c r="G77"/>
  <c r="F77"/>
  <c r="E77"/>
  <c r="D77"/>
  <c r="C77"/>
  <c r="B77"/>
  <c r="J76"/>
  <c r="I76"/>
  <c r="H76"/>
  <c r="G76"/>
  <c r="F76"/>
  <c r="D76"/>
  <c r="B76"/>
  <c r="H75"/>
  <c r="G75"/>
  <c r="F75"/>
  <c r="E75"/>
  <c r="B75"/>
  <c r="J74"/>
  <c r="I74"/>
  <c r="H74"/>
  <c r="G74"/>
  <c r="F74"/>
  <c r="E74"/>
  <c r="D73"/>
  <c r="C73"/>
  <c r="B73"/>
  <c r="I72"/>
  <c r="H72"/>
  <c r="F72"/>
  <c r="E72"/>
  <c r="D72"/>
  <c r="C72"/>
  <c r="J71"/>
  <c r="I71"/>
  <c r="H71"/>
  <c r="G71"/>
  <c r="F71"/>
  <c r="E71"/>
  <c r="J69"/>
  <c r="I69"/>
  <c r="G69"/>
  <c r="F69"/>
  <c r="E69"/>
  <c r="D69"/>
  <c r="C69"/>
  <c r="B69"/>
  <c r="J68"/>
  <c r="D68"/>
  <c r="C68"/>
  <c r="B68"/>
  <c r="H67"/>
  <c r="E67"/>
  <c r="D67"/>
  <c r="C67"/>
  <c r="B67"/>
  <c r="B59"/>
  <c r="C59" s="1"/>
  <c r="B58"/>
  <c r="D58" s="1"/>
  <c r="B57"/>
  <c r="D57" s="1"/>
  <c r="B56"/>
  <c r="D56" s="1"/>
  <c r="B55"/>
  <c r="D55" s="1"/>
  <c r="B54"/>
  <c r="C54" s="1"/>
  <c r="B53"/>
  <c r="D53" s="1"/>
  <c r="B52"/>
  <c r="C52" s="1"/>
  <c r="B51"/>
  <c r="C51" s="1"/>
  <c r="B50"/>
  <c r="C50" s="1"/>
  <c r="B49"/>
  <c r="D49" s="1"/>
  <c r="B48"/>
  <c r="C48" s="1"/>
  <c r="B47"/>
  <c r="D47" s="1"/>
  <c r="H40"/>
  <c r="B39"/>
  <c r="D39" s="1"/>
  <c r="B38"/>
  <c r="D38" s="1"/>
  <c r="B37"/>
  <c r="D37" s="1"/>
  <c r="B36"/>
  <c r="C36" s="1"/>
  <c r="B35"/>
  <c r="D35" s="1"/>
  <c r="D34"/>
  <c r="B34"/>
  <c r="C34" s="1"/>
  <c r="B33"/>
  <c r="C33" s="1"/>
  <c r="B32"/>
  <c r="D32" s="1"/>
  <c r="B31"/>
  <c r="D31" s="1"/>
  <c r="B30"/>
  <c r="D30" s="1"/>
  <c r="B29"/>
  <c r="C29" s="1"/>
  <c r="B28"/>
  <c r="D28" s="1"/>
  <c r="B27"/>
  <c r="C27" s="1"/>
  <c r="B19"/>
  <c r="D19" s="1"/>
  <c r="B18"/>
  <c r="C18" s="1"/>
  <c r="B17"/>
  <c r="D17" s="1"/>
  <c r="B16"/>
  <c r="C16" s="1"/>
  <c r="D15"/>
  <c r="B15"/>
  <c r="C15" s="1"/>
  <c r="B14"/>
  <c r="C14" s="1"/>
  <c r="B13"/>
  <c r="D13" s="1"/>
  <c r="B12"/>
  <c r="C12" s="1"/>
  <c r="B11"/>
  <c r="D11" s="1"/>
  <c r="B10"/>
  <c r="C10" s="1"/>
  <c r="B9"/>
  <c r="D9" s="1"/>
  <c r="B8"/>
  <c r="C8" s="1"/>
  <c r="B7"/>
  <c r="D7" s="1"/>
  <c r="D51" l="1"/>
  <c r="D29"/>
  <c r="D12"/>
  <c r="C37"/>
  <c r="D59"/>
  <c r="D48"/>
  <c r="C7"/>
  <c r="C56"/>
  <c r="I78"/>
  <c r="J78"/>
  <c r="H78"/>
  <c r="G60"/>
  <c r="F60"/>
  <c r="H60"/>
  <c r="G78"/>
  <c r="F67"/>
  <c r="F78" s="1"/>
  <c r="F40"/>
  <c r="E78"/>
  <c r="G20"/>
  <c r="C78"/>
  <c r="D78"/>
  <c r="H20"/>
  <c r="F20"/>
  <c r="B78"/>
  <c r="D10"/>
  <c r="D18"/>
  <c r="C49"/>
  <c r="D54"/>
  <c r="C30"/>
  <c r="C38"/>
  <c r="D8"/>
  <c r="D16"/>
  <c r="D52"/>
  <c r="C55"/>
  <c r="C32"/>
  <c r="C35"/>
  <c r="C57"/>
  <c r="D27"/>
  <c r="C19"/>
  <c r="C47"/>
  <c r="C28"/>
  <c r="D33"/>
  <c r="C58"/>
  <c r="C9"/>
  <c r="D14"/>
  <c r="C17"/>
  <c r="C31"/>
  <c r="D36"/>
  <c r="C39"/>
  <c r="D50"/>
  <c r="C53"/>
  <c r="C13"/>
  <c r="C11"/>
  <c r="L62" i="14" l="1"/>
  <c r="L61"/>
  <c r="L60"/>
  <c r="L59"/>
  <c r="L58"/>
  <c r="L57"/>
  <c r="L56"/>
  <c r="L55"/>
  <c r="L54"/>
  <c r="L53"/>
  <c r="L52"/>
  <c r="L43"/>
  <c r="L42"/>
  <c r="L41"/>
  <c r="L40"/>
  <c r="L39"/>
  <c r="L38"/>
  <c r="L37"/>
  <c r="L36"/>
  <c r="L35"/>
  <c r="L34"/>
  <c r="L33"/>
  <c r="L24"/>
  <c r="L23"/>
  <c r="L22"/>
  <c r="L21"/>
  <c r="L20"/>
  <c r="L19"/>
  <c r="L18"/>
  <c r="L17"/>
  <c r="L16"/>
  <c r="L15"/>
  <c r="L14"/>
  <c r="B3"/>
  <c r="B4"/>
  <c r="B5"/>
  <c r="B2"/>
  <c r="I3" i="15"/>
  <c r="H3"/>
  <c r="G3"/>
  <c r="F3"/>
  <c r="E3"/>
  <c r="D3"/>
  <c r="C3"/>
  <c r="B3"/>
  <c r="I3" i="8"/>
  <c r="H3"/>
  <c r="G3"/>
  <c r="F3"/>
  <c r="E3"/>
  <c r="D3"/>
  <c r="C3"/>
  <c r="B3"/>
  <c r="B7" i="14" l="1"/>
  <c r="G33" i="19" l="1"/>
  <c r="G32"/>
  <c r="B35" l="1"/>
  <c r="B34"/>
  <c r="B33"/>
  <c r="D33" s="1"/>
  <c r="B32"/>
  <c r="G43" s="1"/>
  <c r="I43" s="1"/>
  <c r="C54"/>
  <c r="C53"/>
  <c r="C52"/>
  <c r="C51"/>
  <c r="C50"/>
  <c r="G56"/>
  <c r="I56" s="1"/>
  <c r="G55"/>
  <c r="I55" s="1"/>
  <c r="G54"/>
  <c r="I54" s="1"/>
  <c r="G53"/>
  <c r="I53" s="1"/>
  <c r="G52"/>
  <c r="I52" s="1"/>
  <c r="G51"/>
  <c r="I51" s="1"/>
  <c r="G50"/>
  <c r="I50" s="1"/>
  <c r="G58"/>
  <c r="I58" s="1"/>
  <c r="G63"/>
  <c r="I63" s="1"/>
  <c r="G62"/>
  <c r="I62" s="1"/>
  <c r="G61"/>
  <c r="I61" s="1"/>
  <c r="G60"/>
  <c r="I60" s="1"/>
  <c r="G59"/>
  <c r="I59" s="1"/>
  <c r="C64"/>
  <c r="C63"/>
  <c r="C62"/>
  <c r="C61"/>
  <c r="C60"/>
  <c r="C59"/>
  <c r="C58"/>
  <c r="G72"/>
  <c r="I72" s="1"/>
  <c r="G71"/>
  <c r="I71" s="1"/>
  <c r="G70"/>
  <c r="I70" s="1"/>
  <c r="G68"/>
  <c r="G67"/>
  <c r="C72"/>
  <c r="C71"/>
  <c r="C70"/>
  <c r="C69"/>
  <c r="C68"/>
  <c r="C67"/>
  <c r="D5"/>
  <c r="D4"/>
  <c r="D3"/>
  <c r="E11" i="20"/>
  <c r="B11"/>
  <c r="E10"/>
  <c r="B10"/>
  <c r="E9"/>
  <c r="B9"/>
  <c r="D35" i="19" l="1"/>
  <c r="D34"/>
  <c r="I33"/>
  <c r="B42"/>
  <c r="E42" s="1"/>
  <c r="B41"/>
  <c r="E41" s="1"/>
  <c r="B40"/>
  <c r="E40" s="1"/>
  <c r="B39"/>
  <c r="E39" s="1"/>
  <c r="D42"/>
  <c r="D41"/>
  <c r="D40"/>
  <c r="D39"/>
  <c r="I32"/>
  <c r="C43" l="1"/>
  <c r="E43" s="1"/>
  <c r="D32"/>
  <c r="L63" i="14" l="1"/>
  <c r="L44"/>
  <c r="L25" l="1"/>
  <c r="E8" i="15"/>
  <c r="B62" i="14"/>
  <c r="G62" s="1"/>
  <c r="B61"/>
  <c r="G61" s="1"/>
  <c r="B60"/>
  <c r="F60" s="1"/>
  <c r="B59"/>
  <c r="G59" s="1"/>
  <c r="B58"/>
  <c r="G58" s="1"/>
  <c r="B57"/>
  <c r="G57" s="1"/>
  <c r="B56"/>
  <c r="F56" s="1"/>
  <c r="B55"/>
  <c r="G55" s="1"/>
  <c r="B54"/>
  <c r="F54" s="1"/>
  <c r="B53"/>
  <c r="G53" s="1"/>
  <c r="B52"/>
  <c r="F52" s="1"/>
  <c r="B43"/>
  <c r="G43" s="1"/>
  <c r="B42"/>
  <c r="G42" s="1"/>
  <c r="B41"/>
  <c r="F41" s="1"/>
  <c r="B40"/>
  <c r="G40" s="1"/>
  <c r="B39"/>
  <c r="G39" s="1"/>
  <c r="B38"/>
  <c r="G38" s="1"/>
  <c r="B37"/>
  <c r="G37" s="1"/>
  <c r="B36"/>
  <c r="G36" s="1"/>
  <c r="B35"/>
  <c r="G35" s="1"/>
  <c r="B34"/>
  <c r="F34" s="1"/>
  <c r="B33"/>
  <c r="G33" s="1"/>
  <c r="B24"/>
  <c r="F24" s="1"/>
  <c r="B23"/>
  <c r="F23" s="1"/>
  <c r="B22"/>
  <c r="F22" s="1"/>
  <c r="B21"/>
  <c r="F21" s="1"/>
  <c r="B20"/>
  <c r="F20" s="1"/>
  <c r="B19"/>
  <c r="F19" s="1"/>
  <c r="B18"/>
  <c r="G18" s="1"/>
  <c r="B17"/>
  <c r="F17" s="1"/>
  <c r="B16"/>
  <c r="G16" s="1"/>
  <c r="B14"/>
  <c r="G14" s="1"/>
  <c r="B15"/>
  <c r="G15" s="1"/>
  <c r="M7" i="15"/>
  <c r="M9" s="1"/>
  <c r="M10" s="1"/>
  <c r="L7"/>
  <c r="L9" s="1"/>
  <c r="K7"/>
  <c r="K9" s="1"/>
  <c r="J7"/>
  <c r="J9" s="1"/>
  <c r="I7"/>
  <c r="I9" s="1"/>
  <c r="H7"/>
  <c r="H9" s="1"/>
  <c r="G7"/>
  <c r="G9" s="1"/>
  <c r="F7"/>
  <c r="F9" s="1"/>
  <c r="E7"/>
  <c r="E9" s="1"/>
  <c r="D7"/>
  <c r="D9" s="1"/>
  <c r="C7"/>
  <c r="C9" s="1"/>
  <c r="B7"/>
  <c r="B9" s="1"/>
  <c r="K8"/>
  <c r="J8"/>
  <c r="I8"/>
  <c r="G8"/>
  <c r="F8"/>
  <c r="C8"/>
  <c r="B8"/>
  <c r="B10" l="1"/>
  <c r="F10"/>
  <c r="E10"/>
  <c r="I10"/>
  <c r="J10"/>
  <c r="G34" i="14"/>
  <c r="G54"/>
  <c r="F62"/>
  <c r="G21"/>
  <c r="G22"/>
  <c r="G52"/>
  <c r="F15"/>
  <c r="F53"/>
  <c r="G19"/>
  <c r="G20"/>
  <c r="K10" i="15"/>
  <c r="L8"/>
  <c r="L10" s="1"/>
  <c r="G10"/>
  <c r="H8"/>
  <c r="H10" s="1"/>
  <c r="D8"/>
  <c r="D10" s="1"/>
  <c r="C10"/>
  <c r="C11" s="1"/>
  <c r="F14" i="14"/>
  <c r="F16"/>
  <c r="F40"/>
  <c r="F18"/>
  <c r="G23"/>
  <c r="G24"/>
  <c r="G41"/>
  <c r="G60"/>
  <c r="G17"/>
  <c r="F33"/>
  <c r="F42"/>
  <c r="F61"/>
  <c r="F55"/>
  <c r="F59"/>
  <c r="G56"/>
  <c r="F57"/>
  <c r="F58"/>
  <c r="F37"/>
  <c r="F38"/>
  <c r="F35"/>
  <c r="F39"/>
  <c r="F43"/>
  <c r="F36"/>
  <c r="G11" i="15" l="1"/>
  <c r="J11"/>
  <c r="F11"/>
  <c r="L11"/>
  <c r="K11"/>
  <c r="H11"/>
  <c r="I11"/>
  <c r="D11"/>
  <c r="E11"/>
  <c r="E63" i="14" l="1"/>
  <c r="D63"/>
  <c r="C63"/>
  <c r="E44"/>
  <c r="D44"/>
  <c r="C44"/>
  <c r="E25"/>
  <c r="D25"/>
  <c r="C25"/>
  <c r="I19"/>
  <c r="M11" i="15" l="1"/>
  <c r="M12" s="1"/>
  <c r="B13" s="1"/>
  <c r="I38" i="14"/>
  <c r="J38" l="1"/>
  <c r="K38" s="1"/>
  <c r="M38" s="1"/>
  <c r="I57"/>
  <c r="Q38" l="1"/>
  <c r="V38" s="1"/>
  <c r="O38"/>
  <c r="T38" s="1"/>
  <c r="R38"/>
  <c r="W38" s="1"/>
  <c r="P38"/>
  <c r="U38" s="1"/>
  <c r="N38"/>
  <c r="S38" s="1"/>
  <c r="J17"/>
  <c r="J39"/>
  <c r="J33"/>
  <c r="J40"/>
  <c r="J22"/>
  <c r="J41"/>
  <c r="J18"/>
  <c r="J24"/>
  <c r="J36"/>
  <c r="J52"/>
  <c r="J42"/>
  <c r="J19"/>
  <c r="K19" s="1"/>
  <c r="M19" s="1"/>
  <c r="J37"/>
  <c r="J55"/>
  <c r="J53"/>
  <c r="J35"/>
  <c r="J58"/>
  <c r="J14"/>
  <c r="J61"/>
  <c r="J43"/>
  <c r="J56"/>
  <c r="J16"/>
  <c r="J57"/>
  <c r="K57" s="1"/>
  <c r="M57" s="1"/>
  <c r="J20"/>
  <c r="J54"/>
  <c r="J59"/>
  <c r="J15"/>
  <c r="J21"/>
  <c r="J62"/>
  <c r="J23"/>
  <c r="J60"/>
  <c r="J34"/>
  <c r="N57" l="1"/>
  <c r="S57" s="1"/>
  <c r="Q57"/>
  <c r="V57" s="1"/>
  <c r="O57"/>
  <c r="T57" s="1"/>
  <c r="P57"/>
  <c r="U57" s="1"/>
  <c r="R57"/>
  <c r="W57" s="1"/>
  <c r="R19"/>
  <c r="W19" s="1"/>
  <c r="N19"/>
  <c r="S19" s="1"/>
  <c r="P19"/>
  <c r="U19" s="1"/>
  <c r="Q19"/>
  <c r="V19" s="1"/>
  <c r="O19"/>
  <c r="T19" s="1"/>
  <c r="K26" i="8" l="1"/>
  <c r="J26"/>
  <c r="I26"/>
  <c r="G26"/>
  <c r="F26"/>
  <c r="E26"/>
  <c r="C26"/>
  <c r="I17" i="14" l="1"/>
  <c r="K17" s="1"/>
  <c r="M17" s="1"/>
  <c r="I21"/>
  <c r="K21" s="1"/>
  <c r="M21" s="1"/>
  <c r="I23"/>
  <c r="K23" s="1"/>
  <c r="M23" s="1"/>
  <c r="I15"/>
  <c r="K15" s="1"/>
  <c r="M15" s="1"/>
  <c r="D26" i="8"/>
  <c r="H26"/>
  <c r="L26"/>
  <c r="R15" i="14" l="1"/>
  <c r="W15" s="1"/>
  <c r="N15"/>
  <c r="S15" s="1"/>
  <c r="Q15"/>
  <c r="V15" s="1"/>
  <c r="O15"/>
  <c r="T15" s="1"/>
  <c r="P15"/>
  <c r="U15" s="1"/>
  <c r="P23"/>
  <c r="U23" s="1"/>
  <c r="O23"/>
  <c r="T23" s="1"/>
  <c r="R23"/>
  <c r="W23" s="1"/>
  <c r="Q23"/>
  <c r="V23" s="1"/>
  <c r="N23"/>
  <c r="S23" s="1"/>
  <c r="O21"/>
  <c r="T21" s="1"/>
  <c r="R21"/>
  <c r="W21" s="1"/>
  <c r="N21"/>
  <c r="S21" s="1"/>
  <c r="Q21"/>
  <c r="V21" s="1"/>
  <c r="P21"/>
  <c r="U21" s="1"/>
  <c r="Q17"/>
  <c r="V17" s="1"/>
  <c r="P17"/>
  <c r="U17" s="1"/>
  <c r="O17"/>
  <c r="T17" s="1"/>
  <c r="R17"/>
  <c r="W17" s="1"/>
  <c r="N17"/>
  <c r="S17" s="1"/>
  <c r="I36"/>
  <c r="K36" s="1"/>
  <c r="M36" s="1"/>
  <c r="I14"/>
  <c r="K14" s="1"/>
  <c r="M14" s="1"/>
  <c r="I24"/>
  <c r="K24" s="1"/>
  <c r="M24" s="1"/>
  <c r="I40"/>
  <c r="K40" s="1"/>
  <c r="M40" s="1"/>
  <c r="I34"/>
  <c r="K34" s="1"/>
  <c r="M34" s="1"/>
  <c r="I20"/>
  <c r="K20" s="1"/>
  <c r="M20" s="1"/>
  <c r="I18"/>
  <c r="K18" s="1"/>
  <c r="M18" s="1"/>
  <c r="I42"/>
  <c r="K42" s="1"/>
  <c r="M42" s="1"/>
  <c r="I22"/>
  <c r="K22" s="1"/>
  <c r="M22" s="1"/>
  <c r="I16"/>
  <c r="K16" s="1"/>
  <c r="M16" s="1"/>
  <c r="R40" l="1"/>
  <c r="W40" s="1"/>
  <c r="Q40"/>
  <c r="V40" s="1"/>
  <c r="P40"/>
  <c r="U40" s="1"/>
  <c r="O40"/>
  <c r="T40" s="1"/>
  <c r="N40"/>
  <c r="S40" s="1"/>
  <c r="P14"/>
  <c r="U14" s="1"/>
  <c r="R14"/>
  <c r="W14" s="1"/>
  <c r="N14"/>
  <c r="S14" s="1"/>
  <c r="Q14"/>
  <c r="V14" s="1"/>
  <c r="O14"/>
  <c r="T14" s="1"/>
  <c r="N22"/>
  <c r="S22" s="1"/>
  <c r="Q22"/>
  <c r="V22" s="1"/>
  <c r="R22"/>
  <c r="W22" s="1"/>
  <c r="O22"/>
  <c r="T22" s="1"/>
  <c r="P22"/>
  <c r="U22" s="1"/>
  <c r="N36"/>
  <c r="S36" s="1"/>
  <c r="P36"/>
  <c r="U36" s="1"/>
  <c r="R36"/>
  <c r="W36" s="1"/>
  <c r="Q36"/>
  <c r="V36" s="1"/>
  <c r="O36"/>
  <c r="T36" s="1"/>
  <c r="O24"/>
  <c r="T24" s="1"/>
  <c r="R24"/>
  <c r="W24" s="1"/>
  <c r="Q24"/>
  <c r="V24" s="1"/>
  <c r="N24"/>
  <c r="S24" s="1"/>
  <c r="P24"/>
  <c r="U24" s="1"/>
  <c r="Q42"/>
  <c r="V42" s="1"/>
  <c r="O42"/>
  <c r="T42" s="1"/>
  <c r="N42"/>
  <c r="S42" s="1"/>
  <c r="P42"/>
  <c r="U42" s="1"/>
  <c r="R42"/>
  <c r="W42" s="1"/>
  <c r="R20"/>
  <c r="W20" s="1"/>
  <c r="Q20"/>
  <c r="V20" s="1"/>
  <c r="N20"/>
  <c r="S20" s="1"/>
  <c r="O20"/>
  <c r="T20" s="1"/>
  <c r="P20"/>
  <c r="U20" s="1"/>
  <c r="P16"/>
  <c r="U16" s="1"/>
  <c r="R16"/>
  <c r="W16" s="1"/>
  <c r="O16"/>
  <c r="T16" s="1"/>
  <c r="Q16"/>
  <c r="V16" s="1"/>
  <c r="N16"/>
  <c r="S16" s="1"/>
  <c r="Q18"/>
  <c r="V18" s="1"/>
  <c r="N18"/>
  <c r="S18" s="1"/>
  <c r="O18"/>
  <c r="T18" s="1"/>
  <c r="R18"/>
  <c r="W18" s="1"/>
  <c r="P18"/>
  <c r="U18" s="1"/>
  <c r="P34"/>
  <c r="U34" s="1"/>
  <c r="N34"/>
  <c r="S34" s="1"/>
  <c r="R34"/>
  <c r="W34" s="1"/>
  <c r="Q34"/>
  <c r="V34" s="1"/>
  <c r="O34"/>
  <c r="T34" s="1"/>
  <c r="I33"/>
  <c r="K33" s="1"/>
  <c r="M33" s="1"/>
  <c r="I55"/>
  <c r="K55" s="1"/>
  <c r="M55" s="1"/>
  <c r="K25"/>
  <c r="I41"/>
  <c r="K41" s="1"/>
  <c r="M41" s="1"/>
  <c r="I59"/>
  <c r="K59" s="1"/>
  <c r="M59" s="1"/>
  <c r="I53"/>
  <c r="K53" s="1"/>
  <c r="M53" s="1"/>
  <c r="I61"/>
  <c r="K61" s="1"/>
  <c r="M61" s="1"/>
  <c r="I37"/>
  <c r="K37" s="1"/>
  <c r="M37" s="1"/>
  <c r="I43"/>
  <c r="K43" s="1"/>
  <c r="M43" s="1"/>
  <c r="I35"/>
  <c r="K35" s="1"/>
  <c r="M35" s="1"/>
  <c r="I39"/>
  <c r="K39" s="1"/>
  <c r="M39" s="1"/>
  <c r="I52" l="1"/>
  <c r="K52" s="1"/>
  <c r="M52" s="1"/>
  <c r="O52" s="1"/>
  <c r="T52" s="1"/>
  <c r="Q39"/>
  <c r="V39" s="1"/>
  <c r="R39"/>
  <c r="W39" s="1"/>
  <c r="N39"/>
  <c r="S39" s="1"/>
  <c r="P39"/>
  <c r="U39" s="1"/>
  <c r="O39"/>
  <c r="T39" s="1"/>
  <c r="R55"/>
  <c r="W55" s="1"/>
  <c r="P55"/>
  <c r="U55" s="1"/>
  <c r="O55"/>
  <c r="T55" s="1"/>
  <c r="N55"/>
  <c r="S55" s="1"/>
  <c r="Q55"/>
  <c r="V55" s="1"/>
  <c r="N33"/>
  <c r="S33" s="1"/>
  <c r="P33"/>
  <c r="U33" s="1"/>
  <c r="Q33"/>
  <c r="V33" s="1"/>
  <c r="O33"/>
  <c r="T33" s="1"/>
  <c r="R33"/>
  <c r="W33" s="1"/>
  <c r="O41"/>
  <c r="T41" s="1"/>
  <c r="N41"/>
  <c r="S41" s="1"/>
  <c r="R41"/>
  <c r="W41" s="1"/>
  <c r="Q41"/>
  <c r="V41" s="1"/>
  <c r="P41"/>
  <c r="U41" s="1"/>
  <c r="Q43"/>
  <c r="V43" s="1"/>
  <c r="N43"/>
  <c r="S43" s="1"/>
  <c r="R43"/>
  <c r="W43" s="1"/>
  <c r="O43"/>
  <c r="T43" s="1"/>
  <c r="P43"/>
  <c r="U43" s="1"/>
  <c r="R61"/>
  <c r="W61" s="1"/>
  <c r="Q61"/>
  <c r="V61" s="1"/>
  <c r="N61"/>
  <c r="S61" s="1"/>
  <c r="O61"/>
  <c r="T61" s="1"/>
  <c r="P61"/>
  <c r="U61" s="1"/>
  <c r="O53"/>
  <c r="T53" s="1"/>
  <c r="N53"/>
  <c r="S53" s="1"/>
  <c r="Q53"/>
  <c r="V53" s="1"/>
  <c r="R53"/>
  <c r="W53" s="1"/>
  <c r="P53"/>
  <c r="U53" s="1"/>
  <c r="N59"/>
  <c r="S59" s="1"/>
  <c r="Q59"/>
  <c r="V59" s="1"/>
  <c r="P59"/>
  <c r="U59" s="1"/>
  <c r="O59"/>
  <c r="T59" s="1"/>
  <c r="R59"/>
  <c r="W59" s="1"/>
  <c r="N35"/>
  <c r="S35" s="1"/>
  <c r="P35"/>
  <c r="U35" s="1"/>
  <c r="R35"/>
  <c r="W35" s="1"/>
  <c r="O35"/>
  <c r="T35" s="1"/>
  <c r="Q35"/>
  <c r="V35" s="1"/>
  <c r="Q37"/>
  <c r="V37" s="1"/>
  <c r="P37"/>
  <c r="U37" s="1"/>
  <c r="N37"/>
  <c r="S37" s="1"/>
  <c r="R37"/>
  <c r="W37" s="1"/>
  <c r="O37"/>
  <c r="T37" s="1"/>
  <c r="K44"/>
  <c r="M44"/>
  <c r="I58"/>
  <c r="K58" s="1"/>
  <c r="M58" s="1"/>
  <c r="I54"/>
  <c r="K54" s="1"/>
  <c r="M54" s="1"/>
  <c r="I60"/>
  <c r="K60" s="1"/>
  <c r="M60" s="1"/>
  <c r="I56"/>
  <c r="K56" s="1"/>
  <c r="M56" s="1"/>
  <c r="I62"/>
  <c r="K62" s="1"/>
  <c r="M62" s="1"/>
  <c r="M25"/>
  <c r="Q52" l="1"/>
  <c r="V52" s="1"/>
  <c r="R52"/>
  <c r="W52" s="1"/>
  <c r="P52"/>
  <c r="U52" s="1"/>
  <c r="N52"/>
  <c r="S52" s="1"/>
  <c r="P60"/>
  <c r="U60" s="1"/>
  <c r="Q60"/>
  <c r="V60" s="1"/>
  <c r="N60"/>
  <c r="S60" s="1"/>
  <c r="O60"/>
  <c r="T60" s="1"/>
  <c r="R60"/>
  <c r="W60" s="1"/>
  <c r="Q54"/>
  <c r="V54" s="1"/>
  <c r="N54"/>
  <c r="S54" s="1"/>
  <c r="R54"/>
  <c r="W54" s="1"/>
  <c r="P54"/>
  <c r="U54" s="1"/>
  <c r="O54"/>
  <c r="T54" s="1"/>
  <c r="O56"/>
  <c r="T56" s="1"/>
  <c r="Q56"/>
  <c r="V56" s="1"/>
  <c r="P56"/>
  <c r="U56" s="1"/>
  <c r="N56"/>
  <c r="S56" s="1"/>
  <c r="R56"/>
  <c r="W56" s="1"/>
  <c r="Q58"/>
  <c r="V58" s="1"/>
  <c r="P58"/>
  <c r="U58" s="1"/>
  <c r="O58"/>
  <c r="T58" s="1"/>
  <c r="R58"/>
  <c r="W58" s="1"/>
  <c r="N58"/>
  <c r="S58" s="1"/>
  <c r="R62"/>
  <c r="W62" s="1"/>
  <c r="P62"/>
  <c r="U62" s="1"/>
  <c r="Q62"/>
  <c r="V62" s="1"/>
  <c r="N62"/>
  <c r="S62" s="1"/>
  <c r="O62"/>
  <c r="T62" s="1"/>
  <c r="K63"/>
  <c r="M63"/>
  <c r="V25" l="1"/>
  <c r="Z23" s="1"/>
  <c r="S63"/>
  <c r="S64" s="1"/>
  <c r="V63"/>
  <c r="V64" s="1"/>
  <c r="U63"/>
  <c r="U64" s="1"/>
  <c r="W63"/>
  <c r="W64" s="1"/>
  <c r="T63"/>
  <c r="T64" s="1"/>
  <c r="W25"/>
  <c r="Z24" s="1"/>
  <c r="U25"/>
  <c r="Z22" s="1"/>
  <c r="S25"/>
  <c r="Z20" s="1"/>
  <c r="T25"/>
  <c r="T26" s="1"/>
  <c r="W44"/>
  <c r="Z43" s="1"/>
  <c r="U44"/>
  <c r="V44"/>
  <c r="S44"/>
  <c r="T44"/>
  <c r="V26" l="1"/>
  <c r="D25" i="19"/>
  <c r="D15" s="1"/>
  <c r="D26"/>
  <c r="H26" s="1"/>
  <c r="H16" s="1"/>
  <c r="D23"/>
  <c r="D13" s="1"/>
  <c r="W26" i="14"/>
  <c r="U26"/>
  <c r="S26"/>
  <c r="Z21"/>
  <c r="W45"/>
  <c r="S45"/>
  <c r="Z39"/>
  <c r="Z59"/>
  <c r="U45"/>
  <c r="Z41"/>
  <c r="Z60"/>
  <c r="Z42"/>
  <c r="V45"/>
  <c r="Z40"/>
  <c r="T45"/>
  <c r="Z62"/>
  <c r="Z58"/>
  <c r="Z61"/>
  <c r="H25" i="19" l="1"/>
  <c r="H15" s="1"/>
  <c r="H23"/>
  <c r="H13" s="1"/>
  <c r="D16"/>
  <c r="E23"/>
  <c r="I23" s="1"/>
  <c r="I13" s="1"/>
  <c r="E26"/>
  <c r="E16" s="1"/>
  <c r="F25"/>
  <c r="F15" s="1"/>
  <c r="E24"/>
  <c r="I24" s="1"/>
  <c r="I14" s="1"/>
  <c r="D24"/>
  <c r="D14" s="1"/>
  <c r="F26"/>
  <c r="J26" s="1"/>
  <c r="J16" s="1"/>
  <c r="E25"/>
  <c r="I25" s="1"/>
  <c r="I15" s="1"/>
  <c r="F23"/>
  <c r="J23" s="1"/>
  <c r="J13" s="1"/>
  <c r="F24"/>
  <c r="F14" s="1"/>
  <c r="H24" l="1"/>
  <c r="H14" s="1"/>
  <c r="E13"/>
  <c r="F16"/>
  <c r="J25"/>
  <c r="J15" s="1"/>
  <c r="J24"/>
  <c r="J14" s="1"/>
  <c r="E14"/>
  <c r="I26"/>
  <c r="I16" s="1"/>
  <c r="F13"/>
  <c r="E15"/>
</calcChain>
</file>

<file path=xl/sharedStrings.xml><?xml version="1.0" encoding="utf-8"?>
<sst xmlns="http://schemas.openxmlformats.org/spreadsheetml/2006/main" count="632" uniqueCount="283">
  <si>
    <t>Cloudy Day</t>
  </si>
  <si>
    <t>Solar Time</t>
  </si>
  <si>
    <t>Mildly Cloudy Day</t>
  </si>
  <si>
    <t>Clear Day</t>
  </si>
  <si>
    <t>Solar Irradiance</t>
  </si>
  <si>
    <t>(Degrees)</t>
  </si>
  <si>
    <t>Mildly Cloudy</t>
  </si>
  <si>
    <t>Incidence Angles</t>
  </si>
  <si>
    <t>Effective Irradiance</t>
  </si>
  <si>
    <t>Collector  Type:</t>
  </si>
  <si>
    <t>Gross Length:</t>
  </si>
  <si>
    <t>m</t>
  </si>
  <si>
    <t>ft</t>
  </si>
  <si>
    <t>Gross Width:</t>
  </si>
  <si>
    <t>Gross Depth:</t>
  </si>
  <si>
    <t>kPa</t>
  </si>
  <si>
    <t>psi</t>
  </si>
  <si>
    <t>kg</t>
  </si>
  <si>
    <t>mm</t>
  </si>
  <si>
    <t>inches</t>
  </si>
  <si>
    <t>Tested in accordance with:</t>
  </si>
  <si>
    <t>SI Units:</t>
  </si>
  <si>
    <r>
      <t>ƞ</t>
    </r>
    <r>
      <rPr>
        <b/>
        <vertAlign val="subscript"/>
        <sz val="11"/>
        <color theme="1"/>
        <rFont val="Calibri"/>
        <family val="2"/>
      </rPr>
      <t>0</t>
    </r>
  </si>
  <si>
    <t>kg/s</t>
  </si>
  <si>
    <t>Thermal Efficiency Coefficients [Based on Gross Area]</t>
  </si>
  <si>
    <t>ƞ</t>
  </si>
  <si>
    <t>Category A</t>
  </si>
  <si>
    <t>Category B</t>
  </si>
  <si>
    <t>Category C</t>
  </si>
  <si>
    <t>Category D</t>
  </si>
  <si>
    <t>Category E</t>
  </si>
  <si>
    <t>Collector Thermal Performance Rating</t>
  </si>
  <si>
    <t>CLEAR DAY</t>
  </si>
  <si>
    <t>Hour)</t>
  </si>
  <si>
    <t>CLOUDY DAY</t>
  </si>
  <si>
    <t>MILDLY CLOUDY DAY</t>
  </si>
  <si>
    <t>Unglazed Flat Plate</t>
  </si>
  <si>
    <t>W/m².K</t>
  </si>
  <si>
    <r>
      <t>b</t>
    </r>
    <r>
      <rPr>
        <b/>
        <vertAlign val="subscript"/>
        <sz val="11"/>
        <color theme="1"/>
        <rFont val="Calibri"/>
        <family val="2"/>
      </rPr>
      <t>u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</si>
  <si>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</si>
  <si>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</si>
  <si>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Wind Speed</t>
  </si>
  <si>
    <t>m/s</t>
  </si>
  <si>
    <r>
      <t>(W/m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</si>
  <si>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DAILY TOTALS</t>
  </si>
  <si>
    <r>
      <t>Direct Beam Solar Irradiance,G</t>
    </r>
    <r>
      <rPr>
        <vertAlign val="subscript"/>
        <sz val="11"/>
        <rFont val="Calibri"/>
        <family val="2"/>
        <scheme val="minor"/>
      </rPr>
      <t>b</t>
    </r>
  </si>
  <si>
    <r>
      <t>Diffuse Solar Irradiance, G</t>
    </r>
    <r>
      <rPr>
        <vertAlign val="subscript"/>
        <sz val="11"/>
        <rFont val="Calibri"/>
        <family val="2"/>
        <scheme val="minor"/>
      </rPr>
      <t>d</t>
    </r>
  </si>
  <si>
    <r>
      <t xml:space="preserve"> Total Solar Irradiance, G</t>
    </r>
    <r>
      <rPr>
        <vertAlign val="superscript"/>
        <sz val="11"/>
        <rFont val="Calibri"/>
        <family val="2"/>
        <scheme val="minor"/>
      </rPr>
      <t>1)</t>
    </r>
  </si>
  <si>
    <r>
      <t xml:space="preserve">Solar Azimuth Angle, </t>
    </r>
    <r>
      <rPr>
        <sz val="11"/>
        <rFont val="Calibri"/>
        <family val="2"/>
      </rPr>
      <t>γ</t>
    </r>
    <r>
      <rPr>
        <vertAlign val="subscript"/>
        <sz val="11"/>
        <rFont val="Calibri"/>
        <family val="2"/>
      </rPr>
      <t>s</t>
    </r>
  </si>
  <si>
    <r>
      <t xml:space="preserve">Angle of Incidence to collector normal, </t>
    </r>
    <r>
      <rPr>
        <sz val="11"/>
        <rFont val="Calibri"/>
        <family val="2"/>
      </rPr>
      <t>θi</t>
    </r>
  </si>
  <si>
    <r>
      <t xml:space="preserve">Transversal angle of incidence, </t>
    </r>
    <r>
      <rPr>
        <sz val="11"/>
        <rFont val="Calibri"/>
        <family val="2"/>
      </rPr>
      <t>θ</t>
    </r>
    <r>
      <rPr>
        <vertAlign val="subscript"/>
        <sz val="11"/>
        <rFont val="Calibri"/>
        <family val="2"/>
      </rPr>
      <t>T</t>
    </r>
  </si>
  <si>
    <r>
      <t>Longitudinal angle of incidence, θ</t>
    </r>
    <r>
      <rPr>
        <vertAlign val="subscript"/>
        <sz val="11"/>
        <rFont val="Calibri"/>
        <family val="2"/>
        <scheme val="minor"/>
      </rPr>
      <t>L</t>
    </r>
  </si>
  <si>
    <t>Net Effective Irradiance, G"</t>
  </si>
  <si>
    <r>
      <t>Net sky long wave  (</t>
    </r>
    <r>
      <rPr>
        <sz val="11"/>
        <rFont val="Calibri"/>
        <family val="2"/>
      </rPr>
      <t xml:space="preserve">λ &gt; 3μm) </t>
    </r>
    <r>
      <rPr>
        <sz val="11"/>
        <rFont val="Calibri"/>
        <family val="2"/>
        <scheme val="minor"/>
      </rPr>
      <t>Irradiance</t>
    </r>
  </si>
  <si>
    <r>
      <t xml:space="preserve">Collector efficiencies, </t>
    </r>
    <r>
      <rPr>
        <b/>
        <sz val="11"/>
        <rFont val="Calibri"/>
        <family val="2"/>
      </rPr>
      <t>ƞ</t>
    </r>
    <r>
      <rPr>
        <b/>
        <sz val="11"/>
        <rFont val="Calibri"/>
        <family val="2"/>
        <scheme val="minor"/>
      </rPr>
      <t xml:space="preserve"> at temperature categories:</t>
    </r>
  </si>
  <si>
    <t>Angle Modifiers</t>
  </si>
  <si>
    <r>
      <t>Collector energy output per 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at temperature categories:</t>
    </r>
  </si>
  <si>
    <t>kWh per day</t>
  </si>
  <si>
    <r>
      <t>per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</si>
  <si>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(kWh/m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.day)</t>
    </r>
  </si>
  <si>
    <r>
      <t>(W.h/m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</si>
  <si>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Conversion Factors IP to SI:</t>
  </si>
  <si>
    <t>DAY COMPARISON</t>
  </si>
  <si>
    <t>(Hour)</t>
  </si>
  <si>
    <t>CLEAR</t>
  </si>
  <si>
    <t>MILDLY CLOUDY</t>
  </si>
  <si>
    <t>CLOUDY</t>
  </si>
  <si>
    <t>DAILY SOLAR IRRADIANCE VALUES AND INCIDENCE ANGLES (SI Units)</t>
  </si>
  <si>
    <t>Btu/h to Watts:</t>
  </si>
  <si>
    <r>
      <t>Angle of Incidence to collector normal, θ</t>
    </r>
    <r>
      <rPr>
        <vertAlign val="subscript"/>
        <sz val="11"/>
        <rFont val="Calibri"/>
        <family val="2"/>
      </rPr>
      <t>i</t>
    </r>
  </si>
  <si>
    <r>
      <t>Incidence angle, 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degrees</t>
    </r>
  </si>
  <si>
    <t>Incidence Angle Modifier</t>
  </si>
  <si>
    <r>
      <t>Incidence angle modifier, 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θ</t>
    </r>
    <r>
      <rPr>
        <b/>
        <vertAlign val="subscript"/>
        <sz val="11"/>
        <color theme="1"/>
        <rFont val="Calibri"/>
        <family val="2"/>
      </rPr>
      <t>i</t>
    </r>
    <r>
      <rPr>
        <b/>
        <sz val="11"/>
        <color theme="1"/>
        <rFont val="Calibri"/>
        <family val="2"/>
      </rPr>
      <t>)</t>
    </r>
  </si>
  <si>
    <r>
      <t>Incidence angle modifier for direct radiation, 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</si>
  <si>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 Test + Inter / Extrapolated Values</t>
    </r>
  </si>
  <si>
    <r>
      <t>Incidence angle, 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Radians</t>
    </r>
  </si>
  <si>
    <r>
      <t>sin(2</t>
    </r>
    <r>
      <rPr>
        <b/>
        <sz val="11"/>
        <color theme="1"/>
        <rFont val="Calibri"/>
        <family val="2"/>
      </rPr>
      <t>θ</t>
    </r>
    <r>
      <rPr>
        <b/>
        <vertAlign val="subscript"/>
        <sz val="11"/>
        <color theme="1"/>
        <rFont val="Calibri"/>
        <family val="2"/>
      </rPr>
      <t>i</t>
    </r>
    <r>
      <rPr>
        <b/>
        <sz val="11"/>
        <color theme="1"/>
        <rFont val="Calibri"/>
        <family val="2"/>
      </rPr>
      <t>)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</si>
  <si>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).sin(2θ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</t>
    </r>
  </si>
  <si>
    <r>
      <t>Trapezoid areas under 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).sin(2θ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</t>
    </r>
  </si>
  <si>
    <r>
      <rPr>
        <sz val="11"/>
        <color theme="1"/>
        <rFont val="Calibri"/>
        <family val="2"/>
      </rPr>
      <t>∫</t>
    </r>
    <r>
      <rPr>
        <sz val="11"/>
        <color theme="1"/>
        <rFont val="Calibri"/>
        <family val="2"/>
        <scheme val="minor"/>
      </rPr>
      <t>K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(θ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).sin(2θ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).d</t>
    </r>
    <r>
      <rPr>
        <sz val="11"/>
        <color theme="1"/>
        <rFont val="Calibri"/>
        <family val="2"/>
      </rPr>
      <t>θ</t>
    </r>
  </si>
  <si>
    <r>
      <t>Diffuse Irradiation Modifier, K</t>
    </r>
    <r>
      <rPr>
        <b/>
        <vertAlign val="subscript"/>
        <sz val="11"/>
        <color theme="1"/>
        <rFont val="Calibri"/>
        <family val="2"/>
      </rPr>
      <t>Θ</t>
    </r>
    <r>
      <rPr>
        <b/>
        <vertAlign val="subscript"/>
        <sz val="11"/>
        <color theme="1"/>
        <rFont val="Calibri"/>
        <family val="2"/>
        <scheme val="minor"/>
      </rPr>
      <t>d</t>
    </r>
  </si>
  <si>
    <r>
      <t>Equivalent Normal Irradiance, G'</t>
    </r>
    <r>
      <rPr>
        <vertAlign val="subscript"/>
        <sz val="11"/>
        <rFont val="Calibri"/>
        <family val="2"/>
        <scheme val="minor"/>
      </rPr>
      <t>n</t>
    </r>
  </si>
  <si>
    <r>
      <t>Category A (t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>) K</t>
    </r>
  </si>
  <si>
    <t>HEATING CATEGORY</t>
  </si>
  <si>
    <t>Kilowatt-hours per Collector per Day</t>
  </si>
  <si>
    <t>Thousands of Btu per Collector per Day</t>
  </si>
  <si>
    <t>Temperature Difference</t>
  </si>
  <si>
    <r>
      <t>Category B (t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>) K</t>
    </r>
  </si>
  <si>
    <r>
      <t>Category C (t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>) K</t>
    </r>
  </si>
  <si>
    <r>
      <t>Category D (t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>) K</t>
    </r>
  </si>
  <si>
    <r>
      <t>Category E (t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>) K</t>
    </r>
  </si>
  <si>
    <t>Listee Name:</t>
  </si>
  <si>
    <t>Collector Brand Name:</t>
  </si>
  <si>
    <t xml:space="preserve">TEST LAB INFORMATION   </t>
  </si>
  <si>
    <t>Test Lab:</t>
  </si>
  <si>
    <t>Tested in accordance with standard:</t>
  </si>
  <si>
    <t>Other Standards:</t>
  </si>
  <si>
    <t>Test date:</t>
  </si>
  <si>
    <t>Test report number:</t>
  </si>
  <si>
    <t>Thermal performance test method:</t>
  </si>
  <si>
    <t>THERMAL PERFORMANCE TEST CONDITIONS</t>
  </si>
  <si>
    <t>Collector model tested:</t>
  </si>
  <si>
    <t>Data from Test Lab Report</t>
  </si>
  <si>
    <t>Test heat transfer fluid:</t>
  </si>
  <si>
    <t>Calculated from Test Lab Report</t>
  </si>
  <si>
    <t>Thermal test mean mass flow rate:</t>
  </si>
  <si>
    <t>Manufacturer Data verified on test lab report</t>
  </si>
  <si>
    <t>Mean irradiance during test:</t>
  </si>
  <si>
    <r>
      <t>W/m</t>
    </r>
    <r>
      <rPr>
        <vertAlign val="superscript"/>
        <sz val="11"/>
        <rFont val="Calibri"/>
        <family val="2"/>
        <scheme val="minor"/>
      </rPr>
      <t>2</t>
    </r>
  </si>
  <si>
    <t>Data from Manufacturer</t>
  </si>
  <si>
    <t>Mean windspeed during test:</t>
  </si>
  <si>
    <t>Operating pressure during test:</t>
  </si>
  <si>
    <t xml:space="preserve">COLLECTOR CONSTRUCTION &amp; DIMENSIONS   </t>
  </si>
  <si>
    <t>TESTED COLLECTOR</t>
  </si>
  <si>
    <t xml:space="preserve">Model No: </t>
  </si>
  <si>
    <t>Inlet/outlet tube gasket materials:</t>
  </si>
  <si>
    <t>Caulking/sealant materials:</t>
  </si>
  <si>
    <r>
      <t xml:space="preserve">Gross Area,  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11"/>
        <rFont val="Calibri"/>
        <family val="2"/>
        <scheme val="minor"/>
      </rPr>
      <t>G</t>
    </r>
    <r>
      <rPr>
        <b/>
        <sz val="11"/>
        <rFont val="Calibri"/>
        <family val="2"/>
        <scheme val="minor"/>
      </rPr>
      <t>:</t>
    </r>
  </si>
  <si>
    <r>
      <t>m</t>
    </r>
    <r>
      <rPr>
        <vertAlign val="superscript"/>
        <sz val="11"/>
        <rFont val="Calibri"/>
        <family val="2"/>
        <scheme val="minor"/>
      </rPr>
      <t>2</t>
    </r>
  </si>
  <si>
    <r>
      <t xml:space="preserve">Aperture Area,  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11"/>
        <rFont val="Calibri"/>
        <family val="2"/>
        <scheme val="minor"/>
      </rPr>
      <t>A</t>
    </r>
    <r>
      <rPr>
        <b/>
        <sz val="11"/>
        <rFont val="Calibri"/>
        <family val="2"/>
        <scheme val="minor"/>
      </rPr>
      <t>:</t>
    </r>
  </si>
  <si>
    <r>
      <t xml:space="preserve">Absorber Area,  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11"/>
        <rFont val="Calibri"/>
        <family val="2"/>
        <scheme val="minor"/>
      </rPr>
      <t>a</t>
    </r>
    <r>
      <rPr>
        <b/>
        <sz val="11"/>
        <rFont val="Calibri"/>
        <family val="2"/>
        <scheme val="minor"/>
      </rPr>
      <t>:</t>
    </r>
  </si>
  <si>
    <t>Weight empty:</t>
  </si>
  <si>
    <t xml:space="preserve">ABSORBER   </t>
  </si>
  <si>
    <t>Construction (eg. Sheet, fins, etc.):</t>
  </si>
  <si>
    <t>Flow pattern:</t>
  </si>
  <si>
    <t>Plate/fin material:</t>
  </si>
  <si>
    <t>Header material:</t>
  </si>
  <si>
    <t>Riser tube material:</t>
  </si>
  <si>
    <t>Riser to fin/plate bond:</t>
  </si>
  <si>
    <t>Number of riser tubes:</t>
  </si>
  <si>
    <t>Plate/fin thickness</t>
  </si>
  <si>
    <t>Header tube OD</t>
  </si>
  <si>
    <t>Header tube wall thickness</t>
  </si>
  <si>
    <t>Riser tube OD</t>
  </si>
  <si>
    <t>Riser tube wall thickness</t>
  </si>
  <si>
    <t>STATIC PRESSURE TEST</t>
  </si>
  <si>
    <t>Pre-exposure test pressure</t>
  </si>
  <si>
    <t>Post-exposure test pressure</t>
  </si>
  <si>
    <t>Average pressure tested</t>
  </si>
  <si>
    <r>
      <t>THERMAL PERFORMANCE TEST RESULTS [</t>
    </r>
    <r>
      <rPr>
        <b/>
        <i/>
        <sz val="11"/>
        <color theme="1"/>
        <rFont val="Calibri"/>
        <family val="2"/>
        <scheme val="minor"/>
      </rPr>
      <t>Gross area, A</t>
    </r>
    <r>
      <rPr>
        <b/>
        <i/>
        <vertAlign val="subscript"/>
        <sz val="11"/>
        <color theme="1"/>
        <rFont val="Calibri"/>
        <family val="2"/>
        <scheme val="minor"/>
      </rPr>
      <t>G</t>
    </r>
    <r>
      <rPr>
        <b/>
        <i/>
        <sz val="11"/>
        <color theme="1"/>
        <rFont val="Calibri"/>
        <family val="2"/>
        <scheme val="minor"/>
      </rPr>
      <t xml:space="preserve"> basis; Ti* basis</t>
    </r>
    <r>
      <rPr>
        <b/>
        <sz val="11"/>
        <color theme="1"/>
        <rFont val="Calibri"/>
        <family val="2"/>
        <scheme val="minor"/>
      </rPr>
      <t>]</t>
    </r>
  </si>
  <si>
    <t>Second order fit to data:</t>
  </si>
  <si>
    <r>
      <rPr>
        <sz val="11"/>
        <color theme="1"/>
        <rFont val="Calibri"/>
        <family val="2"/>
      </rPr>
      <t>y-intercept,</t>
    </r>
    <r>
      <rPr>
        <b/>
        <sz val="11"/>
        <color theme="1"/>
        <rFont val="Calibri"/>
        <family val="2"/>
      </rPr>
      <t xml:space="preserve">  ƞ</t>
    </r>
    <r>
      <rPr>
        <b/>
        <vertAlign val="subscript"/>
        <sz val="11"/>
        <color theme="1"/>
        <rFont val="Calibri"/>
        <family val="2"/>
      </rPr>
      <t>0</t>
    </r>
  </si>
  <si>
    <r>
      <rPr>
        <sz val="11"/>
        <color theme="1"/>
        <rFont val="Calibri"/>
        <family val="2"/>
        <scheme val="minor"/>
      </rPr>
      <t>Slope,</t>
    </r>
    <r>
      <rPr>
        <b/>
        <sz val="11"/>
        <color theme="1"/>
        <rFont val="Calibri"/>
        <family val="2"/>
        <scheme val="minor"/>
      </rPr>
      <t xml:space="preserve"> U</t>
    </r>
  </si>
  <si>
    <t>INCIDENCE ANGLE MODIFIER [for Direct Beam Irradiation]</t>
  </si>
  <si>
    <r>
      <rPr>
        <sz val="11"/>
        <rFont val="Calibri"/>
        <family val="2"/>
        <scheme val="minor"/>
      </rPr>
      <t>Angle of incidence,</t>
    </r>
    <r>
      <rPr>
        <b/>
        <sz val="11"/>
        <rFont val="Calibri"/>
        <family val="2"/>
        <scheme val="minor"/>
      </rPr>
      <t xml:space="preserve"> θ</t>
    </r>
    <r>
      <rPr>
        <b/>
        <vertAlign val="subscript"/>
        <sz val="11"/>
        <rFont val="Calibri"/>
        <family val="2"/>
        <scheme val="minor"/>
      </rPr>
      <t>i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(degrees)</t>
    </r>
  </si>
  <si>
    <r>
      <rPr>
        <sz val="11"/>
        <rFont val="Calibri"/>
        <family val="2"/>
        <scheme val="minor"/>
      </rPr>
      <t>Incidence angle modifier,</t>
    </r>
    <r>
      <rPr>
        <b/>
        <sz val="11"/>
        <rFont val="Calibri"/>
        <family val="2"/>
        <scheme val="minor"/>
      </rPr>
      <t xml:space="preserve"> K</t>
    </r>
    <r>
      <rPr>
        <b/>
        <vertAlign val="subscript"/>
        <sz val="11"/>
        <rFont val="Calibri"/>
        <family val="2"/>
        <scheme val="minor"/>
      </rPr>
      <t>b</t>
    </r>
    <r>
      <rPr>
        <b/>
        <sz val="11"/>
        <rFont val="Calibri"/>
        <family val="2"/>
        <scheme val="minor"/>
      </rPr>
      <t xml:space="preserve"> (θ</t>
    </r>
    <r>
      <rPr>
        <b/>
        <vertAlign val="subscript"/>
        <sz val="11"/>
        <rFont val="Calibri"/>
        <family val="2"/>
        <scheme val="minor"/>
      </rPr>
      <t>i</t>
    </r>
    <r>
      <rPr>
        <b/>
        <sz val="11"/>
        <rFont val="Calibri"/>
        <family val="2"/>
        <scheme val="minor"/>
      </rPr>
      <t>)</t>
    </r>
  </si>
  <si>
    <t>Collector Type and optical category:</t>
  </si>
  <si>
    <t>Model Number:</t>
  </si>
  <si>
    <t>MILDLY</t>
  </si>
  <si>
    <r>
      <t xml:space="preserve"> (t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>)</t>
    </r>
  </si>
  <si>
    <r>
      <t>[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C]</t>
    </r>
  </si>
  <si>
    <t>[kWh/day]</t>
  </si>
  <si>
    <r>
      <t>[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F]</t>
    </r>
  </si>
  <si>
    <t>[kBtu/day]</t>
  </si>
  <si>
    <r>
      <t>A</t>
    </r>
    <r>
      <rPr>
        <sz val="11"/>
        <rFont val="Calibri"/>
        <family val="2"/>
        <scheme val="minor"/>
      </rPr>
      <t xml:space="preserve"> - Pool heating (warm climate)</t>
    </r>
  </si>
  <si>
    <r>
      <t>B</t>
    </r>
    <r>
      <rPr>
        <sz val="11"/>
        <rFont val="Calibri"/>
        <family val="2"/>
        <scheme val="minor"/>
      </rPr>
      <t xml:space="preserve"> - Pool heating (cool climate)</t>
    </r>
  </si>
  <si>
    <r>
      <t>C</t>
    </r>
    <r>
      <rPr>
        <sz val="11"/>
        <rFont val="Calibri"/>
        <family val="2"/>
        <scheme val="minor"/>
      </rPr>
      <t xml:space="preserve">  - Water heating (warm climate)</t>
    </r>
  </si>
  <si>
    <r>
      <t>D</t>
    </r>
    <r>
      <rPr>
        <sz val="11"/>
        <rFont val="Calibri"/>
        <family val="2"/>
        <scheme val="minor"/>
      </rPr>
      <t xml:space="preserve"> - Space and water heating (cool climate)</t>
    </r>
  </si>
  <si>
    <r>
      <t>Kilowatt-hours per 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per Day</t>
    </r>
  </si>
  <si>
    <r>
      <t>Thousands of Btu per ft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per Day</t>
    </r>
  </si>
  <si>
    <r>
      <t>[kWh/m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.day]</t>
    </r>
  </si>
  <si>
    <r>
      <t>[kBtu/ft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.day]</t>
    </r>
  </si>
  <si>
    <r>
      <rPr>
        <b/>
        <sz val="11"/>
        <rFont val="Calibri"/>
        <family val="2"/>
        <scheme val="minor"/>
      </rPr>
      <t>Daily irradiances:</t>
    </r>
    <r>
      <rPr>
        <sz val="11"/>
        <rFont val="Calibri"/>
        <family val="2"/>
        <scheme val="minor"/>
      </rPr>
      <t xml:space="preserve"> clear day = 6.309 kWh/m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 (2000 Btu/ft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.day); mildly cloudy day = 4.732 kWh/m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 (1500 Btu/ft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.day); cloudy day = 6.309 kWh/m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 (1000 Btu/ft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.day)</t>
    </r>
  </si>
  <si>
    <r>
      <t>ƞ</t>
    </r>
    <r>
      <rPr>
        <b/>
        <vertAlign val="subscript"/>
        <sz val="11"/>
        <rFont val="Calibri"/>
        <family val="2"/>
      </rPr>
      <t>0</t>
    </r>
  </si>
  <si>
    <r>
      <rPr>
        <sz val="11"/>
        <rFont val="Calibri"/>
        <family val="2"/>
      </rPr>
      <t>y-intercept,</t>
    </r>
    <r>
      <rPr>
        <b/>
        <sz val="11"/>
        <rFont val="Calibri"/>
        <family val="2"/>
      </rPr>
      <t xml:space="preserve">  ƞ</t>
    </r>
    <r>
      <rPr>
        <b/>
        <vertAlign val="subscript"/>
        <sz val="11"/>
        <rFont val="Calibri"/>
        <family val="2"/>
      </rPr>
      <t>0L</t>
    </r>
  </si>
  <si>
    <r>
      <t>Btu/h.ft².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F</t>
    </r>
  </si>
  <si>
    <r>
      <rPr>
        <sz val="11"/>
        <rFont val="Calibri"/>
        <family val="2"/>
        <scheme val="minor"/>
      </rPr>
      <t>Slope,</t>
    </r>
    <r>
      <rPr>
        <b/>
        <sz val="11"/>
        <rFont val="Calibri"/>
        <family val="2"/>
        <scheme val="minor"/>
      </rPr>
      <t xml:space="preserve"> U</t>
    </r>
  </si>
  <si>
    <t>STAGNATION TEMPERATURE</t>
  </si>
  <si>
    <r>
      <t>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[K]</t>
    </r>
  </si>
  <si>
    <t>Power Output [W]</t>
  </si>
  <si>
    <r>
      <t>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[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F]</t>
    </r>
  </si>
  <si>
    <t>Power Output [Btu/h]</t>
  </si>
  <si>
    <t>W</t>
  </si>
  <si>
    <t>Btu/h</t>
  </si>
  <si>
    <t>Test pressure:</t>
  </si>
  <si>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C</t>
    </r>
  </si>
  <si>
    <r>
      <t>o</t>
    </r>
    <r>
      <rPr>
        <sz val="11"/>
        <rFont val="Calibri"/>
        <family val="2"/>
        <scheme val="minor"/>
      </rPr>
      <t>F</t>
    </r>
  </si>
  <si>
    <t>INCIDENCE ANGLE MODIFIER FOR DIRECT IRRADIANCE</t>
  </si>
  <si>
    <t>Normal</t>
  </si>
  <si>
    <r>
      <t>ft</t>
    </r>
    <r>
      <rPr>
        <vertAlign val="superscript"/>
        <sz val="11"/>
        <rFont val="Calibri"/>
        <family val="2"/>
        <scheme val="minor"/>
      </rPr>
      <t>2</t>
    </r>
  </si>
  <si>
    <t>lb</t>
  </si>
  <si>
    <t>Plate/fin thickness:</t>
  </si>
  <si>
    <t>Header tube OD:</t>
  </si>
  <si>
    <t>Header tube wall thickness:</t>
  </si>
  <si>
    <t>Riser tube OD:</t>
  </si>
  <si>
    <t>Riser tube wall thickness:</t>
  </si>
  <si>
    <t xml:space="preserve">TEST INFORMATION   </t>
  </si>
  <si>
    <t>Test location &amp; method:</t>
  </si>
  <si>
    <t>Tested in accordance with standards:</t>
  </si>
  <si>
    <t>ft/s</t>
  </si>
  <si>
    <t>UNGLAZED FLAT PLATE COLLECTOR TEST RESULTS AND SPECIFICATIONS</t>
  </si>
  <si>
    <t>Conversion Factors SI to IP:</t>
  </si>
  <si>
    <t>Watts to Btu/h:</t>
  </si>
  <si>
    <t>kW to Btu/h</t>
  </si>
  <si>
    <t>Btu/h to kW</t>
  </si>
  <si>
    <t>kW.h to Btu</t>
  </si>
  <si>
    <t>Btu to kW.h</t>
  </si>
  <si>
    <t>m to ft</t>
  </si>
  <si>
    <t>ft to m</t>
  </si>
  <si>
    <t>mm to inches</t>
  </si>
  <si>
    <t>inches to mm</t>
  </si>
  <si>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to ft</t>
    </r>
    <r>
      <rPr>
        <vertAlign val="superscript"/>
        <sz val="11"/>
        <color rgb="FF000000"/>
        <rFont val="Calibri"/>
        <family val="2"/>
      </rPr>
      <t>2</t>
    </r>
  </si>
  <si>
    <r>
      <t>ft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to m</t>
    </r>
    <r>
      <rPr>
        <vertAlign val="superscript"/>
        <sz val="11"/>
        <color rgb="FF000000"/>
        <rFont val="Calibri"/>
        <family val="2"/>
      </rPr>
      <t>2:</t>
    </r>
  </si>
  <si>
    <r>
      <t>W/m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to Btu/h.ft</t>
    </r>
    <r>
      <rPr>
        <vertAlign val="superscript"/>
        <sz val="11"/>
        <color theme="1"/>
        <rFont val="Calibri"/>
        <family val="2"/>
      </rPr>
      <t>2</t>
    </r>
  </si>
  <si>
    <r>
      <t xml:space="preserve"> Btu/h.ft</t>
    </r>
    <r>
      <rPr>
        <vertAlign val="superscript"/>
        <sz val="11"/>
        <color theme="1"/>
        <rFont val="Calibri"/>
        <family val="2"/>
      </rPr>
      <t xml:space="preserve">2 </t>
    </r>
    <r>
      <rPr>
        <sz val="11"/>
        <color theme="1"/>
        <rFont val="Calibri"/>
        <family val="2"/>
      </rPr>
      <t>to W/m</t>
    </r>
    <r>
      <rPr>
        <vertAlign val="superscript"/>
        <sz val="11"/>
        <color theme="1"/>
        <rFont val="Calibri"/>
        <family val="2"/>
      </rPr>
      <t xml:space="preserve">2 </t>
    </r>
  </si>
  <si>
    <r>
      <t>kWh/m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to Btu/h.ft</t>
    </r>
    <r>
      <rPr>
        <vertAlign val="superscript"/>
        <sz val="11"/>
        <color theme="1"/>
        <rFont val="Calibri"/>
        <family val="2"/>
      </rPr>
      <t>2</t>
    </r>
  </si>
  <si>
    <r>
      <t>Btu/h.ft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to kW.h/m</t>
    </r>
    <r>
      <rPr>
        <vertAlign val="superscript"/>
        <sz val="11"/>
        <color theme="1"/>
        <rFont val="Calibri"/>
        <family val="2"/>
      </rPr>
      <t>2</t>
    </r>
  </si>
  <si>
    <r>
      <t xml:space="preserve"> Btu/h.ft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to W/m</t>
    </r>
    <r>
      <rPr>
        <vertAlign val="superscript"/>
        <sz val="11"/>
        <color theme="1"/>
        <rFont val="Calibri"/>
        <family val="2"/>
      </rPr>
      <t>2</t>
    </r>
  </si>
  <si>
    <t>kPa to psi</t>
  </si>
  <si>
    <t>psi to kPa</t>
  </si>
  <si>
    <t>kPa to psf</t>
  </si>
  <si>
    <t>psf to kPa</t>
  </si>
  <si>
    <t>kg to lb</t>
  </si>
  <si>
    <t>lb to kg</t>
  </si>
  <si>
    <r>
      <rPr>
        <vertAlign val="super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 xml:space="preserve">C to </t>
    </r>
    <r>
      <rPr>
        <vertAlign val="super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>F (incremental)</t>
    </r>
  </si>
  <si>
    <r>
      <rPr>
        <vertAlign val="super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 xml:space="preserve">F to </t>
    </r>
    <r>
      <rPr>
        <vertAlign val="super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>C (incremental)</t>
    </r>
  </si>
  <si>
    <t>Glazed Flat Plate</t>
  </si>
  <si>
    <t>Tubular</t>
  </si>
  <si>
    <t>ISO 9806-1: 1994</t>
  </si>
  <si>
    <t>ISO 9806-2: 1995</t>
  </si>
  <si>
    <t>ISO 9806-3</t>
  </si>
  <si>
    <t>ISO 9806: 2013</t>
  </si>
  <si>
    <t>Fluid capacity:</t>
  </si>
  <si>
    <t>L</t>
  </si>
  <si>
    <t>Piping connections:</t>
  </si>
  <si>
    <t>Material(s):</t>
  </si>
  <si>
    <t>Materials:</t>
  </si>
  <si>
    <r>
      <t>b</t>
    </r>
    <r>
      <rPr>
        <b/>
        <vertAlign val="subscript"/>
        <sz val="11"/>
        <rFont val="Calibri"/>
        <family val="2"/>
        <scheme val="minor"/>
      </rPr>
      <t>u</t>
    </r>
  </si>
  <si>
    <r>
      <t>b</t>
    </r>
    <r>
      <rPr>
        <b/>
        <vertAlign val="subscript"/>
        <sz val="11"/>
        <rFont val="Calibri"/>
        <family val="2"/>
        <scheme val="minor"/>
      </rPr>
      <t>1</t>
    </r>
  </si>
  <si>
    <r>
      <t>b</t>
    </r>
    <r>
      <rPr>
        <b/>
        <vertAlign val="subscript"/>
        <sz val="11"/>
        <rFont val="Calibri"/>
        <family val="2"/>
        <scheme val="minor"/>
      </rPr>
      <t>2</t>
    </r>
  </si>
  <si>
    <r>
      <t>THERMAL PERFORMANCE EQUATIONS [</t>
    </r>
    <r>
      <rPr>
        <b/>
        <i/>
        <sz val="12"/>
        <rFont val="Calibri"/>
        <family val="2"/>
        <scheme val="minor"/>
      </rPr>
      <t>Gross area basis; Ti* basis, net irradiance basis]</t>
    </r>
  </si>
  <si>
    <t>s/m</t>
  </si>
  <si>
    <r>
      <rPr>
        <sz val="11"/>
        <color theme="1"/>
        <rFont val="Calibri"/>
        <family val="2"/>
        <scheme val="minor"/>
      </rPr>
      <t>Wind dependence of heat loss coefficient,</t>
    </r>
    <r>
      <rPr>
        <b/>
        <sz val="11"/>
        <color theme="1"/>
        <rFont val="Calibri"/>
        <family val="2"/>
        <scheme val="minor"/>
      </rPr>
      <t>b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</si>
  <si>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Calibri"/>
        <family val="2"/>
      </rPr>
      <t>Wind dependance efficiency coefficient,</t>
    </r>
    <r>
      <rPr>
        <b/>
        <sz val="11"/>
        <color theme="1"/>
        <rFont val="Calibri"/>
        <family val="2"/>
      </rPr>
      <t xml:space="preserve"> b</t>
    </r>
    <r>
      <rPr>
        <b/>
        <vertAlign val="subscript"/>
        <sz val="11"/>
        <color theme="1"/>
        <rFont val="Calibri"/>
        <family val="2"/>
      </rPr>
      <t>u</t>
    </r>
  </si>
  <si>
    <r>
      <rPr>
        <sz val="11"/>
        <color theme="1"/>
        <rFont val="Calibri"/>
        <family val="2"/>
      </rPr>
      <t>Thermal efficiency at T</t>
    </r>
    <r>
      <rPr>
        <vertAlign val="subscript"/>
        <sz val="11"/>
        <color theme="1"/>
        <rFont val="Calibri"/>
        <family val="2"/>
      </rPr>
      <t>i</t>
    </r>
    <r>
      <rPr>
        <sz val="11"/>
        <color theme="1"/>
        <rFont val="Calibri"/>
        <family val="2"/>
      </rPr>
      <t>* = 0,</t>
    </r>
    <r>
      <rPr>
        <b/>
        <sz val="11"/>
        <color theme="1"/>
        <rFont val="Calibri"/>
        <family val="2"/>
      </rPr>
      <t xml:space="preserve"> ƞ</t>
    </r>
    <r>
      <rPr>
        <b/>
        <vertAlign val="subscript"/>
        <sz val="11"/>
        <color theme="1"/>
        <rFont val="Calibri"/>
        <family val="2"/>
      </rPr>
      <t>0</t>
    </r>
  </si>
  <si>
    <r>
      <rPr>
        <sz val="11"/>
        <color theme="1"/>
        <rFont val="Calibri"/>
        <family val="2"/>
        <scheme val="minor"/>
      </rPr>
      <t>Heat loss coefficient,</t>
    </r>
    <r>
      <rPr>
        <b/>
        <sz val="11"/>
        <color theme="1"/>
        <rFont val="Calibri"/>
        <family val="2"/>
        <scheme val="minor"/>
      </rPr>
      <t xml:space="preserve"> b</t>
    </r>
    <r>
      <rPr>
        <b/>
        <vertAlign val="subscript"/>
        <sz val="11"/>
        <color theme="1"/>
        <rFont val="Calibri"/>
        <family val="2"/>
        <scheme val="minor"/>
      </rPr>
      <t>1</t>
    </r>
  </si>
  <si>
    <t>s/ft</t>
  </si>
  <si>
    <r>
      <t>t</t>
    </r>
    <r>
      <rPr>
        <b/>
        <vertAlign val="subscript"/>
        <sz val="11"/>
        <rFont val="Calibri"/>
        <family val="2"/>
        <scheme val="minor"/>
      </rPr>
      <t>s</t>
    </r>
    <r>
      <rPr>
        <b/>
        <sz val="11"/>
        <rFont val="Calibri"/>
        <family val="2"/>
        <scheme val="minor"/>
      </rPr>
      <t xml:space="preserve"> for stagnation conditions of G" = 1000 W/m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,  t</t>
    </r>
    <r>
      <rPr>
        <b/>
        <vertAlign val="subscript"/>
        <sz val="11"/>
        <rFont val="Calibri"/>
        <family val="2"/>
        <scheme val="minor"/>
      </rPr>
      <t>a</t>
    </r>
    <r>
      <rPr>
        <b/>
        <sz val="11"/>
        <rFont val="Calibri"/>
        <family val="2"/>
        <scheme val="minor"/>
      </rPr>
      <t xml:space="preserve"> = 30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>C:</t>
    </r>
  </si>
  <si>
    <r>
      <rPr>
        <sz val="11"/>
        <rFont val="Calibri"/>
        <family val="2"/>
        <scheme val="minor"/>
      </rPr>
      <t>Incidence angle modifier,</t>
    </r>
    <r>
      <rPr>
        <b/>
        <sz val="11"/>
        <rFont val="Calibri"/>
        <family val="2"/>
        <scheme val="minor"/>
      </rPr>
      <t xml:space="preserve"> K</t>
    </r>
    <r>
      <rPr>
        <b/>
        <vertAlign val="subscript"/>
        <sz val="11"/>
        <rFont val="Calibri"/>
        <family val="2"/>
        <scheme val="minor"/>
      </rPr>
      <t>b</t>
    </r>
    <r>
      <rPr>
        <b/>
        <sz val="11"/>
        <rFont val="Calibri"/>
        <family val="2"/>
        <scheme val="minor"/>
      </rPr>
      <t>(θ</t>
    </r>
    <r>
      <rPr>
        <b/>
        <vertAlign val="subscript"/>
        <sz val="11"/>
        <rFont val="Calibri"/>
        <family val="2"/>
        <scheme val="minor"/>
      </rPr>
      <t>i</t>
    </r>
    <r>
      <rPr>
        <b/>
        <sz val="11"/>
        <rFont val="Calibri"/>
        <family val="2"/>
        <scheme val="minor"/>
      </rPr>
      <t>)</t>
    </r>
  </si>
  <si>
    <t>m to miles</t>
  </si>
  <si>
    <t>miles to m</t>
  </si>
  <si>
    <r>
      <t>COLLECTOR POWER OUTPUT [for G" = 1000 W/m</t>
    </r>
    <r>
      <rPr>
        <b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 xml:space="preserve"> (317 Btu/h), wind speed u = 1.34 m/s (3mph)]</t>
    </r>
  </si>
  <si>
    <t>DAILY THERMAL PERFORMANCE RATING PER COLLECTOR [at wind speed, u = 1.34 m/s (3.0 mph)]</t>
  </si>
  <si>
    <t>DAILY THERMAL PERFORMANCE RATING PER UNIT AREA [Gross Area Basis &amp;  wind speed, u = 1.34 m/s (3.0 mph)]</t>
  </si>
  <si>
    <t>Linear coefficients based on low-wind speed regime, u = 0.6 m/s (1.3 mph)</t>
  </si>
  <si>
    <r>
      <t>W/m</t>
    </r>
    <r>
      <rPr>
        <vertAlign val="superscript"/>
        <sz val="11"/>
        <color rgb="FF3F3F76"/>
        <rFont val="Calibri"/>
        <family val="2"/>
        <scheme val="minor"/>
      </rPr>
      <t>2</t>
    </r>
  </si>
  <si>
    <r>
      <t>Stagnation temperature, t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equation at zero wind speed</t>
    </r>
  </si>
  <si>
    <t>Wind dependant efficiency equation:</t>
  </si>
  <si>
    <t>Linear fit low wind speed:</t>
  </si>
  <si>
    <r>
      <t>Longitudinal angle of incidence, θ</t>
    </r>
    <r>
      <rPr>
        <vertAlign val="subscript"/>
        <sz val="11"/>
        <rFont val="Calibri"/>
        <family val="2"/>
      </rPr>
      <t>L</t>
    </r>
  </si>
  <si>
    <r>
      <t>Direct Beam Solar Irradiance,  G</t>
    </r>
    <r>
      <rPr>
        <vertAlign val="subscript"/>
        <sz val="11"/>
        <rFont val="Calibri"/>
        <family val="2"/>
      </rPr>
      <t>b</t>
    </r>
  </si>
  <si>
    <r>
      <t>Diffuse Solar Irradiance,           G</t>
    </r>
    <r>
      <rPr>
        <vertAlign val="subscript"/>
        <sz val="11"/>
        <rFont val="Calibri"/>
        <family val="2"/>
      </rPr>
      <t>d</t>
    </r>
  </si>
  <si>
    <r>
      <t xml:space="preserve"> Total Solar Irradiance,           G</t>
    </r>
    <r>
      <rPr>
        <vertAlign val="superscript"/>
        <sz val="11"/>
        <rFont val="Calibri"/>
        <family val="2"/>
      </rPr>
      <t>1)</t>
    </r>
  </si>
  <si>
    <r>
      <t>(W/m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</si>
  <si>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r>
      <t>TOTAL (kWh/m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theme="1"/>
        <rFont val="Calibri"/>
        <family val="2"/>
        <scheme val="minor"/>
      </rPr>
      <t>.day)</t>
    </r>
  </si>
  <si>
    <t>TOTAL (kWh/m2.day)</t>
  </si>
  <si>
    <r>
      <t>TOTAL (kWh/m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.day)</t>
    </r>
  </si>
  <si>
    <t>Solar Azimuth Angle</t>
  </si>
  <si>
    <r>
      <t>(W/m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</si>
  <si>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Net Long Wave Irradiance</t>
  </si>
  <si>
    <r>
      <t>ISO Efficiency Equation: Based on gross area and T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*=(T</t>
    </r>
    <r>
      <rPr>
        <b/>
        <vertAlign val="subscript"/>
        <sz val="11"/>
        <color theme="1"/>
        <rFont val="Calibri"/>
        <family val="2"/>
        <scheme val="minor"/>
      </rPr>
      <t xml:space="preserve">i  </t>
    </r>
    <r>
      <rPr>
        <b/>
        <sz val="11"/>
        <color theme="1"/>
        <rFont val="Calibri"/>
        <family val="2"/>
        <scheme val="minor"/>
      </rPr>
      <t>- T</t>
    </r>
    <r>
      <rPr>
        <b/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)/G''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K/W]</t>
    </r>
  </si>
  <si>
    <r>
      <t>Incident Angle Modifier, K</t>
    </r>
    <r>
      <rPr>
        <vertAlign val="subscript"/>
        <sz val="11"/>
        <rFont val="Calibri"/>
        <family val="2"/>
      </rPr>
      <t>b</t>
    </r>
    <r>
      <rPr>
        <sz val="11"/>
        <rFont val="Calibri"/>
        <family val="2"/>
      </rPr>
      <t>(θ</t>
    </r>
    <r>
      <rPr>
        <vertAlign val="subscript"/>
        <sz val="11"/>
        <rFont val="Calibri"/>
        <family val="2"/>
      </rPr>
      <t>i</t>
    </r>
    <r>
      <rPr>
        <sz val="11"/>
        <rFont val="Calibri"/>
        <family val="2"/>
      </rPr>
      <t>)</t>
    </r>
  </si>
  <si>
    <r>
      <t>Diffuse Beam Modifier, K</t>
    </r>
    <r>
      <rPr>
        <vertAlign val="subscript"/>
        <sz val="11"/>
        <rFont val="Calibri"/>
        <family val="2"/>
      </rPr>
      <t>d</t>
    </r>
  </si>
  <si>
    <r>
      <t>Diffuse Isotropic Irradiation Modifier, K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=</t>
    </r>
  </si>
  <si>
    <r>
      <t>W s/m</t>
    </r>
    <r>
      <rPr>
        <vertAlign val="superscript"/>
        <sz val="11"/>
        <rFont val="Calibri"/>
        <family val="2"/>
        <scheme val="minor"/>
      </rPr>
      <t xml:space="preserve">3 </t>
    </r>
    <r>
      <rPr>
        <sz val="11"/>
        <rFont val="Calibri"/>
        <family val="2"/>
        <scheme val="minor"/>
      </rPr>
      <t>K</t>
    </r>
  </si>
  <si>
    <t>W/m² K</t>
  </si>
  <si>
    <r>
      <t>t</t>
    </r>
    <r>
      <rPr>
        <vertAlign val="subscript"/>
        <sz val="11"/>
        <rFont val="Calibri"/>
        <family val="2"/>
        <scheme val="minor"/>
      </rPr>
      <t>as</t>
    </r>
    <r>
      <rPr>
        <sz val="11"/>
        <rFont val="Calibri"/>
        <family val="2"/>
        <scheme val="minor"/>
      </rPr>
      <t xml:space="preserve"> = ambient temperature, G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'' = net irradiance normal to collector</t>
    </r>
  </si>
  <si>
    <t>Test mass flow rate per area:</t>
  </si>
  <si>
    <r>
      <t>lb/(hr ft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</si>
  <si>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r>
      <t>kg/(s 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</si>
  <si>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r>
      <t>Btu/(h ft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</si>
  <si>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r>
      <t>Btu s/h.ft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.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F</t>
    </r>
  </si>
  <si>
    <t>SRCC Standard 100-13</t>
  </si>
  <si>
    <t>Linear fit to data (low wind speed regime, 0.6 m/s):</t>
  </si>
  <si>
    <t xml:space="preserve">Standard S1001.4 THERMAL PERFORMANCE RATING </t>
  </si>
  <si>
    <t>Manufacturer:</t>
  </si>
  <si>
    <t>Unglazed Solar Collector</t>
  </si>
  <si>
    <r>
      <t>W.s/m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.K</t>
    </r>
  </si>
  <si>
    <r>
      <t>Ws/m</t>
    </r>
    <r>
      <rPr>
        <vertAlign val="superscript"/>
        <sz val="11"/>
        <color rgb="FF3F3F76"/>
        <rFont val="Calibri"/>
        <family val="2"/>
        <scheme val="minor"/>
      </rPr>
      <t>3</t>
    </r>
    <r>
      <rPr>
        <sz val="11"/>
        <color rgb="FF3F3F76"/>
        <rFont val="Calibri"/>
        <family val="2"/>
        <scheme val="minor"/>
      </rPr>
      <t>.K</t>
    </r>
  </si>
  <si>
    <t>Riser tube center to center dist:</t>
  </si>
  <si>
    <t>Riser tube center to center distance:</t>
  </si>
  <si>
    <t>July 17, 2015</t>
  </si>
  <si>
    <t>ISO 9806</t>
  </si>
</sst>
</file>

<file path=xl/styles.xml><?xml version="1.0" encoding="utf-8"?>
<styleSheet xmlns="http://schemas.openxmlformats.org/spreadsheetml/2006/main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"/>
    <numFmt numFmtId="167" formatCode="0.0000"/>
    <numFmt numFmtId="168" formatCode="0.00000"/>
    <numFmt numFmtId="169" formatCode="_(* #,##0.000_);_(* \(#,##0.000\);_(* &quot;-&quot;??_);_(@_)"/>
    <numFmt numFmtId="170" formatCode="0;\-0;;@"/>
    <numFmt numFmtId="171" formatCode="0.000;\-0.000;;@"/>
    <numFmt numFmtId="172" formatCode="0.00;\-0.00;;@"/>
    <numFmt numFmtId="173" formatCode="0.0;\-0.0;;@"/>
    <numFmt numFmtId="174" formatCode="0.0000;\-0.0000;;@"/>
    <numFmt numFmtId="175" formatCode="0.00000000"/>
    <numFmt numFmtId="176" formatCode="0.000000000"/>
    <numFmt numFmtId="177" formatCode="0.0000000"/>
  </numFmts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vertAlign val="super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bscript"/>
      <sz val="11"/>
      <name val="Calibri"/>
      <family val="2"/>
    </font>
    <font>
      <vertAlign val="subscript"/>
      <sz val="11"/>
      <color theme="1"/>
      <name val="Calibri"/>
      <family val="2"/>
    </font>
    <font>
      <sz val="11"/>
      <color theme="7" tint="-0.249977111117893"/>
      <name val="Calibri"/>
      <family val="2"/>
    </font>
    <font>
      <sz val="11"/>
      <color theme="7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vertAlign val="subscript"/>
      <sz val="11"/>
      <name val="Calibri"/>
      <family val="2"/>
    </font>
    <font>
      <b/>
      <vertAlign val="superscript"/>
      <sz val="12"/>
      <name val="Calibri"/>
      <family val="2"/>
      <scheme val="minor"/>
    </font>
    <font>
      <b/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1"/>
      <color rgb="FF3F3F76"/>
      <name val="Calibri"/>
      <family val="2"/>
      <scheme val="minor"/>
    </font>
    <font>
      <b/>
      <u/>
      <sz val="14"/>
      <color rgb="FF000000"/>
      <name val="Calibri"/>
      <family val="2"/>
    </font>
    <font>
      <b/>
      <sz val="14"/>
      <color rgb="FF000000"/>
      <name val="Calibri"/>
      <family val="2"/>
    </font>
    <font>
      <vertAlign val="superscript"/>
      <sz val="11"/>
      <name val="Calibri"/>
      <family val="2"/>
    </font>
    <font>
      <b/>
      <u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699"/>
        <bgColor rgb="FF000000"/>
      </patternFill>
    </fill>
  </fills>
  <borders count="1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10" fillId="3" borderId="15" applyNumberForma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48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2" xfId="0" quotePrefix="1" applyFont="1" applyBorder="1" applyAlignment="1">
      <alignment horizontal="center" vertical="center"/>
    </xf>
    <xf numFmtId="0" fontId="9" fillId="0" borderId="0" xfId="2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2" applyFill="1" applyBorder="1" applyAlignment="1">
      <alignment horizontal="center" vertical="center"/>
    </xf>
    <xf numFmtId="0" fontId="14" fillId="0" borderId="3" xfId="2" applyFont="1" applyFill="1" applyBorder="1" applyAlignment="1">
      <alignment vertical="center"/>
    </xf>
    <xf numFmtId="165" fontId="10" fillId="3" borderId="2" xfId="3" quotePrefix="1" applyNumberForma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center"/>
    </xf>
    <xf numFmtId="0" fontId="0" fillId="0" borderId="0" xfId="0" applyFill="1" applyBorder="1"/>
    <xf numFmtId="165" fontId="10" fillId="3" borderId="2" xfId="3" applyNumberFormat="1" applyBorder="1" applyAlignment="1">
      <alignment horizontal="center"/>
    </xf>
    <xf numFmtId="165" fontId="10" fillId="0" borderId="2" xfId="3" applyNumberForma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5" fillId="0" borderId="0" xfId="0" applyFont="1" applyAlignment="1">
      <alignment horizontal="center"/>
    </xf>
    <xf numFmtId="9" fontId="0" fillId="0" borderId="0" xfId="4" applyFont="1"/>
    <xf numFmtId="2" fontId="0" fillId="0" borderId="14" xfId="0" applyNumberFormat="1" applyBorder="1"/>
    <xf numFmtId="2" fontId="0" fillId="0" borderId="0" xfId="0" applyNumberFormat="1" applyBorder="1"/>
    <xf numFmtId="2" fontId="0" fillId="0" borderId="10" xfId="0" applyNumberFormat="1" applyBorder="1"/>
    <xf numFmtId="166" fontId="0" fillId="0" borderId="0" xfId="0" applyNumberFormat="1" applyBorder="1"/>
    <xf numFmtId="1" fontId="0" fillId="0" borderId="0" xfId="0" applyNumberFormat="1" applyFill="1" applyBorder="1"/>
    <xf numFmtId="0" fontId="0" fillId="0" borderId="2" xfId="0" applyBorder="1"/>
    <xf numFmtId="165" fontId="0" fillId="0" borderId="14" xfId="0" applyNumberFormat="1" applyBorder="1"/>
    <xf numFmtId="165" fontId="0" fillId="0" borderId="11" xfId="0" applyNumberFormat="1" applyBorder="1"/>
    <xf numFmtId="0" fontId="0" fillId="0" borderId="14" xfId="0" applyFill="1" applyBorder="1"/>
    <xf numFmtId="0" fontId="0" fillId="0" borderId="10" xfId="0" applyFill="1" applyBorder="1"/>
    <xf numFmtId="164" fontId="0" fillId="4" borderId="4" xfId="1" applyNumberFormat="1" applyFont="1" applyFill="1" applyBorder="1"/>
    <xf numFmtId="164" fontId="0" fillId="4" borderId="1" xfId="1" applyNumberFormat="1" applyFont="1" applyFill="1" applyBorder="1"/>
    <xf numFmtId="164" fontId="0" fillId="4" borderId="5" xfId="1" applyNumberFormat="1" applyFont="1" applyFill="1" applyBorder="1"/>
    <xf numFmtId="164" fontId="0" fillId="4" borderId="11" xfId="1" applyNumberFormat="1" applyFont="1" applyFill="1" applyBorder="1"/>
    <xf numFmtId="164" fontId="0" fillId="4" borderId="12" xfId="1" applyNumberFormat="1" applyFont="1" applyFill="1" applyBorder="1"/>
    <xf numFmtId="0" fontId="6" fillId="5" borderId="1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165" fontId="0" fillId="0" borderId="10" xfId="0" applyNumberFormat="1" applyFill="1" applyBorder="1"/>
    <xf numFmtId="166" fontId="0" fillId="0" borderId="0" xfId="0" applyNumberFormat="1" applyFill="1" applyBorder="1"/>
    <xf numFmtId="1" fontId="0" fillId="0" borderId="14" xfId="0" applyNumberFormat="1" applyFill="1" applyBorder="1"/>
    <xf numFmtId="43" fontId="0" fillId="0" borderId="2" xfId="0" applyNumberFormat="1" applyBorder="1"/>
    <xf numFmtId="43" fontId="0" fillId="0" borderId="13" xfId="0" applyNumberFormat="1" applyBorder="1"/>
    <xf numFmtId="165" fontId="0" fillId="0" borderId="6" xfId="0" applyNumberFormat="1" applyFill="1" applyBorder="1"/>
    <xf numFmtId="165" fontId="0" fillId="0" borderId="8" xfId="0" applyNumberFormat="1" applyFill="1" applyBorder="1"/>
    <xf numFmtId="165" fontId="0" fillId="0" borderId="12" xfId="0" applyNumberFormat="1" applyFill="1" applyBorder="1"/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0" fillId="0" borderId="0" xfId="0"/>
    <xf numFmtId="2" fontId="0" fillId="0" borderId="2" xfId="0" applyNumberFormat="1" applyBorder="1" applyAlignment="1">
      <alignment horizontal="center"/>
    </xf>
    <xf numFmtId="0" fontId="6" fillId="5" borderId="20" xfId="0" applyFont="1" applyFill="1" applyBorder="1" applyAlignment="1">
      <alignment horizontal="center" vertical="center" wrapText="1"/>
    </xf>
    <xf numFmtId="0" fontId="0" fillId="0" borderId="0" xfId="0"/>
    <xf numFmtId="44" fontId="1" fillId="0" borderId="0" xfId="5" applyFont="1" applyFill="1" applyAlignment="1">
      <alignment horizontal="center"/>
    </xf>
    <xf numFmtId="44" fontId="0" fillId="0" borderId="0" xfId="5" applyFont="1"/>
    <xf numFmtId="44" fontId="1" fillId="0" borderId="0" xfId="5" applyFont="1" applyBorder="1" applyAlignment="1">
      <alignment horizontal="left" vertical="center"/>
    </xf>
    <xf numFmtId="44" fontId="5" fillId="0" borderId="0" xfId="5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/>
    <xf numFmtId="0" fontId="18" fillId="5" borderId="26" xfId="0" applyFont="1" applyFill="1" applyBorder="1" applyAlignment="1">
      <alignment horizontal="center"/>
    </xf>
    <xf numFmtId="0" fontId="18" fillId="5" borderId="28" xfId="0" applyFont="1" applyFill="1" applyBorder="1" applyAlignment="1">
      <alignment horizontal="center"/>
    </xf>
    <xf numFmtId="0" fontId="18" fillId="5" borderId="27" xfId="0" applyFont="1" applyFill="1" applyBorder="1" applyAlignment="1">
      <alignment horizontal="center"/>
    </xf>
    <xf numFmtId="164" fontId="0" fillId="4" borderId="3" xfId="1" applyNumberFormat="1" applyFont="1" applyFill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1" xfId="0" applyNumberFormat="1" applyBorder="1"/>
    <xf numFmtId="2" fontId="0" fillId="0" borderId="3" xfId="0" applyNumberFormat="1" applyBorder="1"/>
    <xf numFmtId="2" fontId="0" fillId="0" borderId="12" xfId="0" applyNumberFormat="1" applyBorder="1"/>
    <xf numFmtId="0" fontId="0" fillId="5" borderId="1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5" fontId="0" fillId="0" borderId="0" xfId="0" applyNumberFormat="1"/>
    <xf numFmtId="1" fontId="0" fillId="0" borderId="7" xfId="0" applyNumberFormat="1" applyFill="1" applyBorder="1"/>
    <xf numFmtId="1" fontId="0" fillId="0" borderId="3" xfId="0" applyNumberFormat="1" applyFill="1" applyBorder="1"/>
    <xf numFmtId="0" fontId="0" fillId="5" borderId="24" xfId="0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9" fontId="22" fillId="0" borderId="4" xfId="4" applyFont="1" applyFill="1" applyBorder="1"/>
    <xf numFmtId="9" fontId="22" fillId="0" borderId="1" xfId="4" applyFont="1" applyFill="1" applyBorder="1"/>
    <xf numFmtId="9" fontId="22" fillId="0" borderId="5" xfId="4" applyFont="1" applyFill="1" applyBorder="1"/>
    <xf numFmtId="0" fontId="6" fillId="5" borderId="2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5" borderId="42" xfId="0" applyFill="1" applyBorder="1" applyAlignment="1">
      <alignment horizontal="center" wrapText="1"/>
    </xf>
    <xf numFmtId="165" fontId="25" fillId="8" borderId="2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29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4" xfId="0" applyBorder="1"/>
    <xf numFmtId="0" fontId="0" fillId="0" borderId="1" xfId="0" applyFont="1" applyBorder="1" applyAlignment="1">
      <alignment horizontal="right"/>
    </xf>
    <xf numFmtId="165" fontId="24" fillId="9" borderId="2" xfId="0" applyNumberFormat="1" applyFont="1" applyFill="1" applyBorder="1" applyAlignment="1">
      <alignment horizontal="center" vertical="center"/>
    </xf>
    <xf numFmtId="165" fontId="0" fillId="0" borderId="9" xfId="0" applyNumberFormat="1" applyBorder="1" applyAlignment="1">
      <alignment horizontal="center"/>
    </xf>
    <xf numFmtId="165" fontId="6" fillId="6" borderId="2" xfId="0" applyNumberFormat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5" fillId="0" borderId="0" xfId="0" applyFont="1" applyFill="1" applyBorder="1"/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Fill="1" applyAlignment="1"/>
    <xf numFmtId="0" fontId="0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3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6" fillId="10" borderId="77" xfId="0" applyFont="1" applyFill="1" applyBorder="1"/>
    <xf numFmtId="0" fontId="0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6" fillId="10" borderId="87" xfId="0" applyFont="1" applyFill="1" applyBorder="1"/>
    <xf numFmtId="0" fontId="14" fillId="0" borderId="0" xfId="0" applyFont="1" applyFill="1" applyBorder="1" applyAlignment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1" fillId="0" borderId="61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63" xfId="0" applyFont="1" applyFill="1" applyBorder="1" applyAlignment="1">
      <alignment horizontal="right" vertical="center"/>
    </xf>
    <xf numFmtId="0" fontId="1" fillId="0" borderId="64" xfId="0" applyFont="1" applyFill="1" applyBorder="1" applyAlignment="1">
      <alignment horizontal="center" vertical="center"/>
    </xf>
    <xf numFmtId="0" fontId="0" fillId="10" borderId="77" xfId="0" applyFont="1" applyFill="1" applyBorder="1"/>
    <xf numFmtId="164" fontId="28" fillId="10" borderId="104" xfId="1" applyNumberFormat="1" applyFont="1" applyFill="1" applyBorder="1" applyAlignment="1">
      <alignment horizontal="right" vertical="center" wrapText="1"/>
    </xf>
    <xf numFmtId="0" fontId="0" fillId="10" borderId="87" xfId="0" applyFont="1" applyFill="1" applyBorder="1"/>
    <xf numFmtId="0" fontId="0" fillId="0" borderId="0" xfId="0" applyFont="1" applyBorder="1" applyAlignment="1">
      <alignment horizontal="right"/>
    </xf>
    <xf numFmtId="0" fontId="0" fillId="0" borderId="64" xfId="0" applyFont="1" applyBorder="1"/>
    <xf numFmtId="0" fontId="1" fillId="0" borderId="65" xfId="0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0" fillId="0" borderId="66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left"/>
    </xf>
    <xf numFmtId="0" fontId="0" fillId="0" borderId="63" xfId="0" applyFont="1" applyBorder="1"/>
    <xf numFmtId="0" fontId="0" fillId="0" borderId="63" xfId="0" applyFont="1" applyBorder="1" applyAlignment="1">
      <alignment vertical="center"/>
    </xf>
    <xf numFmtId="0" fontId="1" fillId="0" borderId="2" xfId="0" quotePrefix="1" applyFont="1" applyBorder="1" applyAlignment="1">
      <alignment horizontal="right" vertical="center"/>
    </xf>
    <xf numFmtId="0" fontId="1" fillId="0" borderId="76" xfId="0" applyFont="1" applyBorder="1" applyAlignment="1">
      <alignment horizontal="center" vertical="center"/>
    </xf>
    <xf numFmtId="165" fontId="6" fillId="10" borderId="80" xfId="3" quotePrefix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65" fontId="10" fillId="0" borderId="0" xfId="3" quotePrefix="1" applyNumberFormat="1" applyFont="1" applyFill="1" applyBorder="1" applyAlignment="1">
      <alignment horizontal="right" vertical="center"/>
    </xf>
    <xf numFmtId="165" fontId="10" fillId="0" borderId="0" xfId="3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6" fontId="6" fillId="0" borderId="5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117" xfId="0" applyFont="1" applyFill="1" applyBorder="1" applyAlignment="1">
      <alignment horizontal="center" vertical="center" wrapText="1"/>
    </xf>
    <xf numFmtId="166" fontId="6" fillId="0" borderId="53" xfId="0" quotePrefix="1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vertical="center"/>
    </xf>
    <xf numFmtId="166" fontId="6" fillId="0" borderId="5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66" fontId="6" fillId="0" borderId="12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166" fontId="6" fillId="0" borderId="52" xfId="0" applyNumberFormat="1" applyFont="1" applyFill="1" applyBorder="1" applyAlignment="1">
      <alignment horizontal="center" vertical="center" wrapText="1"/>
    </xf>
    <xf numFmtId="166" fontId="6" fillId="0" borderId="117" xfId="0" applyNumberFormat="1" applyFont="1" applyFill="1" applyBorder="1" applyAlignment="1">
      <alignment horizontal="center" vertical="center" wrapText="1"/>
    </xf>
    <xf numFmtId="166" fontId="14" fillId="0" borderId="125" xfId="0" applyNumberFormat="1" applyFont="1" applyFill="1" applyBorder="1" applyAlignment="1">
      <alignment horizontal="left" vertical="center"/>
    </xf>
    <xf numFmtId="166" fontId="14" fillId="0" borderId="97" xfId="0" applyNumberFormat="1" applyFont="1" applyFill="1" applyBorder="1" applyAlignment="1">
      <alignment horizontal="left" vertical="center"/>
    </xf>
    <xf numFmtId="166" fontId="14" fillId="0" borderId="126" xfId="0" applyNumberFormat="1" applyFont="1" applyFill="1" applyBorder="1" applyAlignment="1">
      <alignment horizontal="left" vertical="center"/>
    </xf>
    <xf numFmtId="166" fontId="14" fillId="0" borderId="100" xfId="0" applyNumberFormat="1" applyFont="1" applyFill="1" applyBorder="1" applyAlignment="1">
      <alignment horizontal="left" vertical="center"/>
    </xf>
    <xf numFmtId="166" fontId="6" fillId="0" borderId="55" xfId="0" applyNumberFormat="1" applyFont="1" applyFill="1" applyBorder="1" applyAlignment="1">
      <alignment horizontal="center" vertical="center"/>
    </xf>
    <xf numFmtId="166" fontId="6" fillId="0" borderId="55" xfId="0" quotePrefix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128" xfId="0" applyFont="1" applyFill="1" applyBorder="1" applyAlignment="1">
      <alignment horizontal="right" vertical="center"/>
    </xf>
    <xf numFmtId="0" fontId="6" fillId="0" borderId="90" xfId="0" applyFont="1" applyFill="1" applyBorder="1" applyAlignment="1">
      <alignment vertical="center"/>
    </xf>
    <xf numFmtId="0" fontId="6" fillId="0" borderId="89" xfId="0" applyFont="1" applyFill="1" applyBorder="1" applyAlignment="1">
      <alignment vertical="center"/>
    </xf>
    <xf numFmtId="0" fontId="6" fillId="0" borderId="128" xfId="0" applyFont="1" applyFill="1" applyBorder="1" applyAlignment="1">
      <alignment vertical="center"/>
    </xf>
    <xf numFmtId="0" fontId="6" fillId="0" borderId="129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6" fillId="0" borderId="116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17" xfId="0" applyFont="1" applyFill="1" applyBorder="1" applyAlignment="1">
      <alignment vertical="center"/>
    </xf>
    <xf numFmtId="0" fontId="15" fillId="0" borderId="13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130" xfId="0" applyFont="1" applyFill="1" applyBorder="1" applyAlignment="1">
      <alignment horizontal="center" vertical="center" wrapText="1"/>
    </xf>
    <xf numFmtId="167" fontId="6" fillId="13" borderId="2" xfId="3" applyNumberFormat="1" applyFont="1" applyFill="1" applyBorder="1" applyAlignment="1">
      <alignment horizontal="right" vertical="center" wrapText="1"/>
    </xf>
    <xf numFmtId="0" fontId="6" fillId="13" borderId="2" xfId="0" applyFont="1" applyFill="1" applyBorder="1" applyAlignment="1">
      <alignment vertical="center"/>
    </xf>
    <xf numFmtId="0" fontId="6" fillId="13" borderId="54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vertical="center"/>
    </xf>
    <xf numFmtId="0" fontId="6" fillId="13" borderId="77" xfId="0" applyFont="1" applyFill="1" applyBorder="1" applyAlignment="1">
      <alignment vertical="center"/>
    </xf>
    <xf numFmtId="0" fontId="14" fillId="0" borderId="131" xfId="0" applyFont="1" applyFill="1" applyBorder="1" applyAlignment="1">
      <alignment horizontal="center" vertical="center" wrapText="1"/>
    </xf>
    <xf numFmtId="0" fontId="6" fillId="13" borderId="80" xfId="3" applyFont="1" applyFill="1" applyBorder="1" applyAlignment="1">
      <alignment horizontal="right" vertical="center" wrapText="1"/>
    </xf>
    <xf numFmtId="0" fontId="6" fillId="13" borderId="80" xfId="0" applyFont="1" applyFill="1" applyBorder="1" applyAlignment="1">
      <alignment vertical="center"/>
    </xf>
    <xf numFmtId="168" fontId="6" fillId="13" borderId="80" xfId="3" applyNumberFormat="1" applyFont="1" applyFill="1" applyBorder="1" applyAlignment="1">
      <alignment horizontal="right" vertical="center" wrapText="1"/>
    </xf>
    <xf numFmtId="0" fontId="6" fillId="13" borderId="118" xfId="0" applyFont="1" applyFill="1" applyBorder="1" applyAlignment="1">
      <alignment vertical="center"/>
    </xf>
    <xf numFmtId="0" fontId="14" fillId="0" borderId="6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132" xfId="0" applyFont="1" applyFill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6" fillId="0" borderId="130" xfId="0" applyFont="1" applyFill="1" applyBorder="1" applyAlignment="1">
      <alignment horizontal="center" vertical="center"/>
    </xf>
    <xf numFmtId="164" fontId="6" fillId="13" borderId="1" xfId="1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vertical="center" wrapText="1"/>
    </xf>
    <xf numFmtId="1" fontId="6" fillId="0" borderId="66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134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164" fontId="6" fillId="13" borderId="102" xfId="1" applyNumberFormat="1" applyFont="1" applyFill="1" applyBorder="1" applyAlignment="1">
      <alignment horizontal="center" vertical="center"/>
    </xf>
    <xf numFmtId="0" fontId="6" fillId="13" borderId="102" xfId="0" applyFont="1" applyFill="1" applyBorder="1" applyAlignment="1">
      <alignment vertical="center"/>
    </xf>
    <xf numFmtId="0" fontId="6" fillId="0" borderId="80" xfId="0" applyFont="1" applyFill="1" applyBorder="1" applyAlignment="1">
      <alignment horizontal="center" vertical="center"/>
    </xf>
    <xf numFmtId="0" fontId="6" fillId="13" borderId="87" xfId="0" applyFont="1" applyFill="1" applyBorder="1" applyAlignment="1">
      <alignment vertical="center"/>
    </xf>
    <xf numFmtId="0" fontId="14" fillId="0" borderId="135" xfId="0" applyFont="1" applyBorder="1" applyAlignment="1">
      <alignment horizontal="left" vertical="center"/>
    </xf>
    <xf numFmtId="0" fontId="6" fillId="0" borderId="136" xfId="0" applyFont="1" applyBorder="1" applyAlignment="1">
      <alignment horizontal="right" vertical="center"/>
    </xf>
    <xf numFmtId="164" fontId="6" fillId="13" borderId="137" xfId="1" applyNumberFormat="1" applyFont="1" applyFill="1" applyBorder="1" applyAlignment="1">
      <alignment vertical="center"/>
    </xf>
    <xf numFmtId="0" fontId="6" fillId="13" borderId="138" xfId="0" applyFont="1" applyFill="1" applyBorder="1" applyAlignment="1">
      <alignment vertical="center"/>
    </xf>
    <xf numFmtId="0" fontId="6" fillId="13" borderId="121" xfId="0" applyFont="1" applyFill="1" applyBorder="1" applyAlignment="1">
      <alignment vertical="center"/>
    </xf>
    <xf numFmtId="1" fontId="6" fillId="13" borderId="102" xfId="0" applyNumberFormat="1" applyFont="1" applyFill="1" applyBorder="1" applyAlignment="1">
      <alignment horizontal="right" vertical="center" wrapText="1"/>
    </xf>
    <xf numFmtId="0" fontId="6" fillId="13" borderId="79" xfId="0" applyFont="1" applyFill="1" applyBorder="1" applyAlignment="1">
      <alignment horizontal="left" vertical="center" wrapText="1"/>
    </xf>
    <xf numFmtId="1" fontId="6" fillId="13" borderId="86" xfId="0" applyNumberFormat="1" applyFont="1" applyFill="1" applyBorder="1" applyAlignment="1">
      <alignment horizontal="right" vertical="center"/>
    </xf>
    <xf numFmtId="0" fontId="7" fillId="13" borderId="87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" xfId="0" quotePrefix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165" fontId="6" fillId="0" borderId="0" xfId="3" quotePrefix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1" fontId="6" fillId="13" borderId="133" xfId="3" applyNumberFormat="1" applyFont="1" applyFill="1" applyBorder="1" applyAlignment="1">
      <alignment horizontal="right" vertical="center" wrapText="1"/>
    </xf>
    <xf numFmtId="170" fontId="6" fillId="13" borderId="72" xfId="0" applyNumberFormat="1" applyFont="1" applyFill="1" applyBorder="1" applyAlignment="1">
      <alignment vertical="center"/>
    </xf>
    <xf numFmtId="172" fontId="6" fillId="13" borderId="133" xfId="3" applyNumberFormat="1" applyFont="1" applyFill="1" applyBorder="1" applyAlignment="1">
      <alignment horizontal="right" vertical="center" wrapText="1"/>
    </xf>
    <xf numFmtId="170" fontId="6" fillId="13" borderId="111" xfId="0" applyNumberFormat="1" applyFont="1" applyFill="1" applyBorder="1" applyAlignment="1">
      <alignment vertical="center"/>
    </xf>
    <xf numFmtId="171" fontId="6" fillId="13" borderId="4" xfId="3" applyNumberFormat="1" applyFont="1" applyFill="1" applyBorder="1" applyAlignment="1">
      <alignment horizontal="right" vertical="center" wrapText="1"/>
    </xf>
    <xf numFmtId="170" fontId="6" fillId="13" borderId="5" xfId="0" applyNumberFormat="1" applyFont="1" applyFill="1" applyBorder="1" applyAlignment="1">
      <alignment vertical="center"/>
    </xf>
    <xf numFmtId="172" fontId="6" fillId="13" borderId="4" xfId="3" applyNumberFormat="1" applyFont="1" applyFill="1" applyBorder="1" applyAlignment="1">
      <alignment horizontal="right" vertical="center" wrapText="1"/>
    </xf>
    <xf numFmtId="170" fontId="6" fillId="13" borderId="77" xfId="0" applyNumberFormat="1" applyFont="1" applyFill="1" applyBorder="1" applyAlignment="1">
      <alignment vertical="center"/>
    </xf>
    <xf numFmtId="0" fontId="6" fillId="0" borderId="7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173" fontId="6" fillId="13" borderId="99" xfId="3" applyNumberFormat="1" applyFont="1" applyFill="1" applyBorder="1" applyAlignment="1">
      <alignment horizontal="right" vertical="center" wrapText="1"/>
    </xf>
    <xf numFmtId="170" fontId="6" fillId="13" borderId="139" xfId="0" applyNumberFormat="1" applyFont="1" applyFill="1" applyBorder="1" applyAlignment="1">
      <alignment vertical="center"/>
    </xf>
    <xf numFmtId="170" fontId="6" fillId="13" borderId="141" xfId="0" applyNumberFormat="1" applyFont="1" applyFill="1" applyBorder="1" applyAlignment="1">
      <alignment vertical="center"/>
    </xf>
    <xf numFmtId="172" fontId="6" fillId="13" borderId="4" xfId="0" applyNumberFormat="1" applyFont="1" applyFill="1" applyBorder="1" applyAlignment="1">
      <alignment horizontal="right" vertical="center" wrapText="1"/>
    </xf>
    <xf numFmtId="170" fontId="6" fillId="13" borderId="5" xfId="0" applyNumberFormat="1" applyFont="1" applyFill="1" applyBorder="1" applyAlignment="1">
      <alignment horizontal="left" vertical="center" wrapText="1"/>
    </xf>
    <xf numFmtId="171" fontId="6" fillId="13" borderId="4" xfId="0" applyNumberFormat="1" applyFont="1" applyFill="1" applyBorder="1" applyAlignment="1">
      <alignment horizontal="right" vertical="center" wrapText="1"/>
    </xf>
    <xf numFmtId="170" fontId="6" fillId="13" borderId="77" xfId="0" applyNumberFormat="1" applyFont="1" applyFill="1" applyBorder="1" applyAlignment="1">
      <alignment horizontal="left" vertical="center" wrapText="1"/>
    </xf>
    <xf numFmtId="170" fontId="6" fillId="13" borderId="4" xfId="0" applyNumberFormat="1" applyFont="1" applyFill="1" applyBorder="1" applyAlignment="1">
      <alignment horizontal="right" vertical="center" wrapText="1"/>
    </xf>
    <xf numFmtId="170" fontId="6" fillId="13" borderId="86" xfId="0" applyNumberFormat="1" applyFont="1" applyFill="1" applyBorder="1" applyAlignment="1">
      <alignment horizontal="right" vertical="center" wrapText="1"/>
    </xf>
    <xf numFmtId="170" fontId="6" fillId="13" borderId="79" xfId="0" applyNumberFormat="1" applyFont="1" applyFill="1" applyBorder="1" applyAlignment="1">
      <alignment horizontal="left" vertical="center" wrapText="1"/>
    </xf>
    <xf numFmtId="170" fontId="6" fillId="13" borderId="87" xfId="0" applyNumberFormat="1" applyFont="1" applyFill="1" applyBorder="1" applyAlignment="1">
      <alignment horizontal="left" vertical="center" wrapText="1"/>
    </xf>
    <xf numFmtId="170" fontId="6" fillId="13" borderId="6" xfId="0" applyNumberFormat="1" applyFont="1" applyFill="1" applyBorder="1" applyAlignment="1">
      <alignment vertical="center"/>
    </xf>
    <xf numFmtId="170" fontId="6" fillId="13" borderId="8" xfId="0" applyNumberFormat="1" applyFont="1" applyFill="1" applyBorder="1" applyAlignment="1">
      <alignment vertical="center"/>
    </xf>
    <xf numFmtId="170" fontId="6" fillId="13" borderId="14" xfId="0" applyNumberFormat="1" applyFont="1" applyFill="1" applyBorder="1" applyAlignment="1">
      <alignment vertical="center"/>
    </xf>
    <xf numFmtId="170" fontId="6" fillId="13" borderId="10" xfId="0" applyNumberFormat="1" applyFont="1" applyFill="1" applyBorder="1" applyAlignment="1">
      <alignment vertical="center"/>
    </xf>
    <xf numFmtId="174" fontId="6" fillId="13" borderId="4" xfId="3" applyNumberFormat="1" applyFont="1" applyFill="1" applyBorder="1" applyAlignment="1">
      <alignment horizontal="right" vertical="center" wrapText="1"/>
    </xf>
    <xf numFmtId="170" fontId="6" fillId="13" borderId="4" xfId="3" applyNumberFormat="1" applyFont="1" applyFill="1" applyBorder="1" applyAlignment="1">
      <alignment horizontal="right" vertical="center" wrapText="1"/>
    </xf>
    <xf numFmtId="170" fontId="6" fillId="13" borderId="11" xfId="0" applyNumberFormat="1" applyFont="1" applyFill="1" applyBorder="1" applyAlignment="1">
      <alignment vertical="center"/>
    </xf>
    <xf numFmtId="170" fontId="6" fillId="13" borderId="12" xfId="0" applyNumberFormat="1" applyFont="1" applyFill="1" applyBorder="1" applyAlignment="1">
      <alignment vertical="center"/>
    </xf>
    <xf numFmtId="170" fontId="6" fillId="13" borderId="12" xfId="0" applyNumberFormat="1" applyFont="1" applyFill="1" applyBorder="1" applyAlignment="1">
      <alignment horizontal="left" vertical="center"/>
    </xf>
    <xf numFmtId="170" fontId="6" fillId="13" borderId="86" xfId="0" applyNumberFormat="1" applyFont="1" applyFill="1" applyBorder="1" applyAlignment="1">
      <alignment horizontal="left" vertical="center"/>
    </xf>
    <xf numFmtId="170" fontId="6" fillId="13" borderId="79" xfId="0" applyNumberFormat="1" applyFont="1" applyFill="1" applyBorder="1" applyAlignment="1">
      <alignment horizontal="left" vertical="center"/>
    </xf>
    <xf numFmtId="170" fontId="6" fillId="13" borderId="86" xfId="3" applyNumberFormat="1" applyFont="1" applyFill="1" applyBorder="1" applyAlignment="1">
      <alignment horizontal="right" vertical="center" wrapText="1"/>
    </xf>
    <xf numFmtId="170" fontId="6" fillId="13" borderId="79" xfId="0" applyNumberFormat="1" applyFont="1" applyFill="1" applyBorder="1" applyAlignment="1">
      <alignment vertical="center"/>
    </xf>
    <xf numFmtId="173" fontId="6" fillId="13" borderId="86" xfId="3" applyNumberFormat="1" applyFont="1" applyFill="1" applyBorder="1" applyAlignment="1">
      <alignment horizontal="right" vertical="center" wrapText="1"/>
    </xf>
    <xf numFmtId="170" fontId="6" fillId="13" borderId="87" xfId="0" applyNumberFormat="1" applyFont="1" applyFill="1" applyBorder="1" applyAlignment="1">
      <alignment vertical="center"/>
    </xf>
    <xf numFmtId="0" fontId="5" fillId="14" borderId="2" xfId="0" applyFont="1" applyFill="1" applyBorder="1" applyAlignment="1">
      <alignment horizontal="right" vertical="center"/>
    </xf>
    <xf numFmtId="167" fontId="5" fillId="0" borderId="2" xfId="0" applyNumberFormat="1" applyFont="1" applyFill="1" applyBorder="1" applyAlignment="1">
      <alignment horizontal="right" vertical="center"/>
    </xf>
    <xf numFmtId="175" fontId="5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68" fontId="5" fillId="0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14" fillId="0" borderId="47" xfId="0" applyFont="1" applyFill="1" applyBorder="1" applyAlignment="1"/>
    <xf numFmtId="0" fontId="14" fillId="0" borderId="48" xfId="0" applyFont="1" applyFill="1" applyBorder="1" applyAlignment="1"/>
    <xf numFmtId="170" fontId="6" fillId="13" borderId="86" xfId="0" applyNumberFormat="1" applyFont="1" applyFill="1" applyBorder="1" applyAlignment="1">
      <alignment horizontal="center" vertical="center" wrapText="1"/>
    </xf>
    <xf numFmtId="0" fontId="0" fillId="0" borderId="0" xfId="0"/>
    <xf numFmtId="0" fontId="30" fillId="0" borderId="61" xfId="0" applyFont="1" applyFill="1" applyBorder="1" applyAlignment="1">
      <alignment vertical="center"/>
    </xf>
    <xf numFmtId="0" fontId="30" fillId="0" borderId="63" xfId="0" applyFont="1" applyFill="1" applyBorder="1" applyAlignment="1">
      <alignment vertical="center"/>
    </xf>
    <xf numFmtId="0" fontId="30" fillId="0" borderId="64" xfId="0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right" vertical="center"/>
    </xf>
    <xf numFmtId="173" fontId="6" fillId="13" borderId="13" xfId="0" applyNumberFormat="1" applyFont="1" applyFill="1" applyBorder="1" applyAlignment="1">
      <alignment horizontal="center" vertical="center"/>
    </xf>
    <xf numFmtId="173" fontId="6" fillId="13" borderId="2" xfId="0" applyNumberFormat="1" applyFont="1" applyFill="1" applyBorder="1" applyAlignment="1">
      <alignment horizontal="center" vertical="center"/>
    </xf>
    <xf numFmtId="173" fontId="6" fillId="13" borderId="54" xfId="0" applyNumberFormat="1" applyFont="1" applyFill="1" applyBorder="1" applyAlignment="1">
      <alignment horizontal="center" vertical="center"/>
    </xf>
    <xf numFmtId="173" fontId="6" fillId="13" borderId="7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167" fontId="0" fillId="0" borderId="0" xfId="0" applyNumberFormat="1" applyBorder="1" applyAlignment="1"/>
    <xf numFmtId="168" fontId="0" fillId="0" borderId="0" xfId="0" applyNumberFormat="1" applyBorder="1" applyAlignment="1"/>
    <xf numFmtId="0" fontId="5" fillId="0" borderId="0" xfId="0" applyFont="1" applyFill="1" applyBorder="1" applyAlignment="1">
      <alignment vertical="center"/>
    </xf>
    <xf numFmtId="0" fontId="1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0" fillId="3" borderId="1" xfId="3" applyBorder="1" applyAlignment="1">
      <alignment vertical="center" wrapText="1"/>
    </xf>
    <xf numFmtId="0" fontId="10" fillId="3" borderId="5" xfId="3" applyBorder="1" applyAlignment="1">
      <alignment horizontal="center" vertical="center" wrapText="1"/>
    </xf>
    <xf numFmtId="0" fontId="10" fillId="3" borderId="5" xfId="3" applyBorder="1" applyAlignment="1">
      <alignment vertical="center" wrapText="1"/>
    </xf>
    <xf numFmtId="2" fontId="10" fillId="3" borderId="5" xfId="3" applyNumberFormat="1" applyBorder="1" applyAlignment="1">
      <alignment horizontal="left"/>
    </xf>
    <xf numFmtId="167" fontId="10" fillId="3" borderId="1" xfId="3" applyNumberFormat="1" applyBorder="1" applyAlignment="1">
      <alignment vertical="center" wrapText="1"/>
    </xf>
    <xf numFmtId="165" fontId="10" fillId="3" borderId="1" xfId="3" applyNumberFormat="1" applyBorder="1" applyAlignment="1">
      <alignment vertical="center" wrapText="1"/>
    </xf>
    <xf numFmtId="0" fontId="10" fillId="3" borderId="5" xfId="3" applyBorder="1"/>
    <xf numFmtId="0" fontId="10" fillId="3" borderId="4" xfId="3" applyBorder="1"/>
    <xf numFmtId="2" fontId="10" fillId="3" borderId="5" xfId="3" applyNumberFormat="1" applyBorder="1"/>
    <xf numFmtId="0" fontId="1" fillId="0" borderId="6" xfId="0" applyFont="1" applyBorder="1" applyAlignment="1">
      <alignment horizontal="right" vertical="center" wrapText="1"/>
    </xf>
    <xf numFmtId="167" fontId="10" fillId="3" borderId="7" xfId="3" applyNumberFormat="1" applyBorder="1" applyAlignment="1">
      <alignment vertical="center" wrapText="1"/>
    </xf>
    <xf numFmtId="2" fontId="10" fillId="3" borderId="8" xfId="3" applyNumberFormat="1" applyBorder="1" applyAlignment="1">
      <alignment horizontal="left"/>
    </xf>
    <xf numFmtId="166" fontId="6" fillId="0" borderId="112" xfId="0" applyNumberFormat="1" applyFont="1" applyFill="1" applyBorder="1" applyAlignment="1">
      <alignment horizontal="center" vertical="center" wrapText="1"/>
    </xf>
    <xf numFmtId="166" fontId="6" fillId="0" borderId="9" xfId="0" applyNumberFormat="1" applyFont="1" applyFill="1" applyBorder="1" applyAlignment="1">
      <alignment horizontal="center" vertical="center" wrapText="1"/>
    </xf>
    <xf numFmtId="166" fontId="6" fillId="0" borderId="42" xfId="0" applyNumberFormat="1" applyFont="1" applyFill="1" applyBorder="1" applyAlignment="1">
      <alignment horizontal="center" vertical="center" wrapText="1"/>
    </xf>
    <xf numFmtId="0" fontId="6" fillId="0" borderId="1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166" fontId="0" fillId="0" borderId="0" xfId="0" applyNumberFormat="1"/>
    <xf numFmtId="0" fontId="0" fillId="5" borderId="143" xfId="0" applyFill="1" applyBorder="1" applyAlignment="1">
      <alignment horizontal="center"/>
    </xf>
    <xf numFmtId="166" fontId="0" fillId="0" borderId="14" xfId="0" applyNumberFormat="1" applyFill="1" applyBorder="1"/>
    <xf numFmtId="166" fontId="0" fillId="0" borderId="10" xfId="0" applyNumberFormat="1" applyFill="1" applyBorder="1"/>
    <xf numFmtId="166" fontId="0" fillId="0" borderId="14" xfId="0" applyNumberFormat="1" applyBorder="1"/>
    <xf numFmtId="166" fontId="0" fillId="0" borderId="10" xfId="0" applyNumberFormat="1" applyBorder="1"/>
    <xf numFmtId="166" fontId="0" fillId="0" borderId="6" xfId="0" applyNumberFormat="1" applyFill="1" applyBorder="1"/>
    <xf numFmtId="166" fontId="0" fillId="0" borderId="7" xfId="0" applyNumberFormat="1" applyFill="1" applyBorder="1"/>
    <xf numFmtId="166" fontId="0" fillId="0" borderId="8" xfId="0" applyNumberFormat="1" applyFill="1" applyBorder="1"/>
    <xf numFmtId="166" fontId="0" fillId="0" borderId="11" xfId="0" applyNumberFormat="1" applyBorder="1"/>
    <xf numFmtId="166" fontId="0" fillId="0" borderId="3" xfId="0" applyNumberFormat="1" applyBorder="1"/>
    <xf numFmtId="166" fontId="0" fillId="0" borderId="12" xfId="0" applyNumberFormat="1" applyBorder="1"/>
    <xf numFmtId="164" fontId="6" fillId="13" borderId="137" xfId="0" applyNumberFormat="1" applyFont="1" applyFill="1" applyBorder="1" applyAlignment="1">
      <alignment vertical="center"/>
    </xf>
    <xf numFmtId="172" fontId="6" fillId="13" borderId="2" xfId="0" applyNumberFormat="1" applyFont="1" applyFill="1" applyBorder="1" applyAlignment="1">
      <alignment horizontal="center" vertical="center"/>
    </xf>
    <xf numFmtId="172" fontId="6" fillId="13" borderId="56" xfId="0" applyNumberFormat="1" applyFont="1" applyFill="1" applyBorder="1" applyAlignment="1">
      <alignment horizontal="center" vertical="center"/>
    </xf>
    <xf numFmtId="172" fontId="6" fillId="13" borderId="57" xfId="0" applyNumberFormat="1" applyFont="1" applyFill="1" applyBorder="1" applyAlignment="1">
      <alignment horizontal="center" vertical="center"/>
    </xf>
    <xf numFmtId="172" fontId="6" fillId="13" borderId="76" xfId="0" applyNumberFormat="1" applyFont="1" applyFill="1" applyBorder="1" applyAlignment="1">
      <alignment horizontal="center" vertical="center"/>
    </xf>
    <xf numFmtId="172" fontId="6" fillId="13" borderId="127" xfId="0" applyNumberFormat="1" applyFont="1" applyFill="1" applyBorder="1" applyAlignment="1">
      <alignment horizontal="center" vertical="center"/>
    </xf>
    <xf numFmtId="165" fontId="25" fillId="8" borderId="5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40" fillId="0" borderId="14" xfId="0" applyFont="1" applyFill="1" applyBorder="1" applyAlignment="1"/>
    <xf numFmtId="0" fontId="40" fillId="0" borderId="0" xfId="0" applyFont="1" applyFill="1" applyBorder="1" applyAlignment="1"/>
    <xf numFmtId="0" fontId="18" fillId="7" borderId="22" xfId="0" applyFont="1" applyFill="1" applyBorder="1" applyAlignment="1">
      <alignment horizontal="center"/>
    </xf>
    <xf numFmtId="0" fontId="18" fillId="7" borderId="23" xfId="0" applyFont="1" applyFill="1" applyBorder="1" applyAlignment="1">
      <alignment horizontal="center"/>
    </xf>
    <xf numFmtId="0" fontId="18" fillId="7" borderId="24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18" fillId="0" borderId="6" xfId="0" applyFont="1" applyFill="1" applyBorder="1" applyAlignment="1"/>
    <xf numFmtId="0" fontId="5" fillId="0" borderId="8" xfId="0" applyFont="1" applyFill="1" applyBorder="1"/>
    <xf numFmtId="0" fontId="18" fillId="0" borderId="14" xfId="0" applyFont="1" applyFill="1" applyBorder="1" applyAlignment="1"/>
    <xf numFmtId="0" fontId="18" fillId="0" borderId="0" xfId="0" applyFont="1" applyFill="1" applyBorder="1" applyAlignment="1"/>
    <xf numFmtId="0" fontId="18" fillId="0" borderId="10" xfId="0" applyFont="1" applyFill="1" applyBorder="1" applyAlignment="1"/>
    <xf numFmtId="0" fontId="5" fillId="0" borderId="14" xfId="0" applyFont="1" applyFill="1" applyBorder="1" applyAlignment="1"/>
    <xf numFmtId="0" fontId="5" fillId="0" borderId="0" xfId="0" applyFont="1" applyFill="1" applyBorder="1" applyAlignment="1"/>
    <xf numFmtId="0" fontId="5" fillId="0" borderId="10" xfId="0" applyFont="1" applyFill="1" applyBorder="1" applyAlignment="1"/>
    <xf numFmtId="0" fontId="5" fillId="0" borderId="14" xfId="0" applyFont="1" applyFill="1" applyBorder="1"/>
    <xf numFmtId="0" fontId="5" fillId="0" borderId="10" xfId="0" applyFont="1" applyFill="1" applyBorder="1"/>
    <xf numFmtId="1" fontId="5" fillId="0" borderId="14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2" xfId="0" applyFont="1" applyFill="1" applyBorder="1"/>
    <xf numFmtId="164" fontId="5" fillId="0" borderId="7" xfId="1" applyNumberFormat="1" applyFont="1" applyFill="1" applyBorder="1"/>
    <xf numFmtId="169" fontId="5" fillId="14" borderId="4" xfId="1" applyNumberFormat="1" applyFont="1" applyFill="1" applyBorder="1" applyAlignment="1">
      <alignment horizontal="center"/>
    </xf>
    <xf numFmtId="169" fontId="5" fillId="14" borderId="44" xfId="1" applyNumberFormat="1" applyFont="1" applyFill="1" applyBorder="1" applyAlignment="1">
      <alignment horizontal="center"/>
    </xf>
    <xf numFmtId="169" fontId="5" fillId="14" borderId="5" xfId="1" applyNumberFormat="1" applyFont="1" applyFill="1" applyBorder="1" applyAlignment="1">
      <alignment horizontal="center"/>
    </xf>
    <xf numFmtId="0" fontId="34" fillId="0" borderId="0" xfId="0" applyFont="1" applyFill="1" applyBorder="1" applyAlignment="1"/>
    <xf numFmtId="164" fontId="5" fillId="0" borderId="0" xfId="1" applyNumberFormat="1" applyFont="1" applyFill="1" applyBorder="1"/>
    <xf numFmtId="0" fontId="34" fillId="7" borderId="0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 wrapText="1"/>
    </xf>
    <xf numFmtId="0" fontId="5" fillId="7" borderId="42" xfId="0" applyFont="1" applyFill="1" applyBorder="1" applyAlignment="1">
      <alignment horizontal="center" wrapText="1"/>
    </xf>
    <xf numFmtId="0" fontId="5" fillId="7" borderId="25" xfId="0" applyFont="1" applyFill="1" applyBorder="1" applyAlignment="1">
      <alignment horizontal="center"/>
    </xf>
    <xf numFmtId="0" fontId="5" fillId="7" borderId="46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left"/>
    </xf>
    <xf numFmtId="169" fontId="5" fillId="14" borderId="1" xfId="1" applyNumberFormat="1" applyFont="1" applyFill="1" applyBorder="1" applyAlignment="1">
      <alignment horizontal="center"/>
    </xf>
    <xf numFmtId="0" fontId="34" fillId="0" borderId="4" xfId="0" applyFont="1" applyFill="1" applyBorder="1"/>
    <xf numFmtId="0" fontId="5" fillId="0" borderId="5" xfId="0" applyFont="1" applyFill="1" applyBorder="1"/>
    <xf numFmtId="0" fontId="5" fillId="14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vertical="center"/>
    </xf>
    <xf numFmtId="2" fontId="5" fillId="0" borderId="0" xfId="5" applyNumberFormat="1" applyFont="1" applyBorder="1" applyAlignment="1">
      <alignment horizontal="center" vertical="center"/>
    </xf>
    <xf numFmtId="2" fontId="0" fillId="5" borderId="12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vertical="center" wrapText="1"/>
    </xf>
    <xf numFmtId="2" fontId="2" fillId="0" borderId="0" xfId="1" applyNumberFormat="1" applyFont="1" applyFill="1" applyBorder="1"/>
    <xf numFmtId="2" fontId="2" fillId="4" borderId="5" xfId="1" applyNumberFormat="1" applyFont="1" applyFill="1" applyBorder="1"/>
    <xf numFmtId="2" fontId="0" fillId="0" borderId="0" xfId="0" applyNumberFormat="1" applyFont="1"/>
    <xf numFmtId="0" fontId="6" fillId="10" borderId="4" xfId="3" applyFont="1" applyFill="1" applyBorder="1" applyAlignment="1" applyProtection="1">
      <alignment horizontal="right" vertical="center" wrapText="1"/>
      <protection locked="0"/>
    </xf>
    <xf numFmtId="0" fontId="6" fillId="10" borderId="86" xfId="3" applyFont="1" applyFill="1" applyBorder="1" applyAlignment="1" applyProtection="1">
      <alignment horizontal="right" vertical="center" wrapText="1"/>
      <protection locked="0"/>
    </xf>
    <xf numFmtId="165" fontId="6" fillId="10" borderId="94" xfId="3" applyNumberFormat="1" applyFont="1" applyFill="1" applyBorder="1" applyAlignment="1" applyProtection="1">
      <alignment horizontal="right" vertical="center" wrapText="1"/>
      <protection locked="0"/>
    </xf>
    <xf numFmtId="0" fontId="6" fillId="10" borderId="97" xfId="3" applyFont="1" applyFill="1" applyBorder="1" applyAlignment="1" applyProtection="1">
      <alignment horizontal="right" vertical="center" wrapText="1"/>
      <protection locked="0"/>
    </xf>
    <xf numFmtId="0" fontId="6" fillId="10" borderId="95" xfId="3" applyFont="1" applyFill="1" applyBorder="1" applyAlignment="1" applyProtection="1">
      <alignment horizontal="right" vertical="center" wrapText="1"/>
      <protection locked="0"/>
    </xf>
    <xf numFmtId="0" fontId="6" fillId="12" borderId="97" xfId="0" applyFont="1" applyFill="1" applyBorder="1" applyAlignment="1" applyProtection="1">
      <protection locked="0"/>
    </xf>
    <xf numFmtId="0" fontId="6" fillId="12" borderId="94" xfId="0" applyFont="1" applyFill="1" applyBorder="1" applyAlignment="1" applyProtection="1">
      <protection locked="0"/>
    </xf>
    <xf numFmtId="0" fontId="6" fillId="12" borderId="100" xfId="0" applyFont="1" applyFill="1" applyBorder="1" applyAlignment="1" applyProtection="1">
      <protection locked="0"/>
    </xf>
    <xf numFmtId="0" fontId="6" fillId="12" borderId="100" xfId="0" applyFont="1" applyFill="1" applyBorder="1" applyAlignment="1" applyProtection="1">
      <alignment horizontal="left" vertical="center"/>
      <protection locked="0"/>
    </xf>
    <xf numFmtId="2" fontId="6" fillId="12" borderId="97" xfId="0" applyNumberFormat="1" applyFont="1" applyFill="1" applyBorder="1" applyAlignment="1" applyProtection="1">
      <alignment horizontal="right" vertical="center" wrapText="1"/>
      <protection locked="0"/>
    </xf>
    <xf numFmtId="166" fontId="6" fillId="12" borderId="97" xfId="0" applyNumberFormat="1" applyFont="1" applyFill="1" applyBorder="1" applyAlignment="1" applyProtection="1">
      <alignment horizontal="right" vertical="center" wrapText="1"/>
      <protection locked="0"/>
    </xf>
    <xf numFmtId="164" fontId="6" fillId="10" borderId="4" xfId="1" applyNumberFormat="1" applyFont="1" applyFill="1" applyBorder="1" applyAlignment="1" applyProtection="1">
      <alignment horizontal="right" vertical="center" wrapText="1"/>
      <protection locked="0"/>
    </xf>
    <xf numFmtId="165" fontId="6" fillId="10" borderId="80" xfId="3" quotePrefix="1" applyNumberFormat="1" applyFont="1" applyFill="1" applyBorder="1" applyAlignment="1" applyProtection="1">
      <alignment horizontal="center" vertical="center"/>
      <protection locked="0"/>
    </xf>
    <xf numFmtId="165" fontId="6" fillId="10" borderId="81" xfId="3" quotePrefix="1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/>
    <xf numFmtId="165" fontId="10" fillId="3" borderId="1" xfId="3" applyNumberFormat="1" applyBorder="1"/>
    <xf numFmtId="2" fontId="6" fillId="13" borderId="4" xfId="3" applyNumberFormat="1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165" fontId="6" fillId="13" borderId="4" xfId="3" applyNumberFormat="1" applyFont="1" applyFill="1" applyBorder="1" applyAlignment="1">
      <alignment horizontal="right" vertical="center" wrapText="1"/>
    </xf>
    <xf numFmtId="165" fontId="6" fillId="10" borderId="97" xfId="3" applyNumberFormat="1" applyFont="1" applyFill="1" applyBorder="1" applyAlignment="1" applyProtection="1">
      <alignment horizontal="right" vertical="center" wrapText="1"/>
      <protection locked="0"/>
    </xf>
    <xf numFmtId="2" fontId="6" fillId="13" borderId="80" xfId="3" quotePrefix="1" applyNumberFormat="1" applyFont="1" applyFill="1" applyBorder="1" applyAlignment="1">
      <alignment horizontal="center" vertical="center"/>
    </xf>
    <xf numFmtId="2" fontId="6" fillId="13" borderId="81" xfId="3" quotePrefix="1" applyNumberFormat="1" applyFont="1" applyFill="1" applyBorder="1" applyAlignment="1">
      <alignment horizontal="center" vertical="center"/>
    </xf>
    <xf numFmtId="173" fontId="6" fillId="13" borderId="4" xfId="3" applyNumberFormat="1" applyFont="1" applyFill="1" applyBorder="1" applyAlignment="1">
      <alignment horizontal="right" vertical="center" wrapText="1"/>
    </xf>
    <xf numFmtId="165" fontId="6" fillId="10" borderId="4" xfId="3" applyNumberFormat="1" applyFont="1" applyFill="1" applyBorder="1" applyAlignment="1" applyProtection="1">
      <alignment horizontal="right" vertical="center" wrapText="1"/>
      <protection locked="0"/>
    </xf>
    <xf numFmtId="165" fontId="6" fillId="10" borderId="86" xfId="3" applyNumberFormat="1" applyFont="1" applyFill="1" applyBorder="1" applyAlignment="1" applyProtection="1">
      <alignment horizontal="right" vertical="center" wrapText="1"/>
      <protection locked="0"/>
    </xf>
    <xf numFmtId="166" fontId="6" fillId="0" borderId="0" xfId="0" applyNumberFormat="1" applyFont="1"/>
    <xf numFmtId="172" fontId="6" fillId="13" borderId="4" xfId="0" applyNumberFormat="1" applyFont="1" applyFill="1" applyBorder="1" applyAlignment="1">
      <alignment horizontal="center" vertical="center"/>
    </xf>
    <xf numFmtId="172" fontId="6" fillId="13" borderId="101" xfId="0" applyNumberFormat="1" applyFont="1" applyFill="1" applyBorder="1" applyAlignment="1">
      <alignment horizontal="center" vertical="center"/>
    </xf>
    <xf numFmtId="0" fontId="6" fillId="13" borderId="11" xfId="0" applyNumberFormat="1" applyFont="1" applyFill="1" applyBorder="1" applyAlignment="1">
      <alignment horizontal="left" vertical="center"/>
    </xf>
    <xf numFmtId="0" fontId="6" fillId="12" borderId="77" xfId="0" applyFont="1" applyFill="1" applyBorder="1" applyAlignment="1" applyProtection="1">
      <protection locked="0"/>
    </xf>
    <xf numFmtId="0" fontId="6" fillId="12" borderId="117" xfId="0" applyFont="1" applyFill="1" applyBorder="1" applyAlignment="1" applyProtection="1">
      <protection locked="0"/>
    </xf>
    <xf numFmtId="0" fontId="6" fillId="12" borderId="141" xfId="0" applyFont="1" applyFill="1" applyBorder="1" applyAlignment="1" applyProtection="1">
      <protection locked="0"/>
    </xf>
    <xf numFmtId="0" fontId="6" fillId="10" borderId="117" xfId="0" applyFont="1" applyFill="1" applyBorder="1"/>
    <xf numFmtId="0" fontId="6" fillId="10" borderId="66" xfId="0" applyFont="1" applyFill="1" applyBorder="1"/>
    <xf numFmtId="0" fontId="14" fillId="0" borderId="71" xfId="0" applyFont="1" applyFill="1" applyBorder="1" applyAlignment="1"/>
    <xf numFmtId="0" fontId="14" fillId="0" borderId="111" xfId="0" applyFont="1" applyFill="1" applyBorder="1" applyAlignment="1"/>
    <xf numFmtId="0" fontId="6" fillId="12" borderId="77" xfId="0" applyFont="1" applyFill="1" applyBorder="1" applyAlignment="1">
      <alignment horizontal="left" vertical="center" wrapText="1"/>
    </xf>
    <xf numFmtId="2" fontId="6" fillId="12" borderId="146" xfId="0" applyNumberFormat="1" applyFont="1" applyFill="1" applyBorder="1" applyAlignment="1" applyProtection="1">
      <alignment horizontal="right" vertical="center" wrapText="1"/>
      <protection locked="0"/>
    </xf>
    <xf numFmtId="0" fontId="6" fillId="12" borderId="87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/>
    </xf>
    <xf numFmtId="0" fontId="26" fillId="11" borderId="4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5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7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1" fillId="0" borderId="61" xfId="0" applyFont="1" applyBorder="1" applyAlignment="1">
      <alignment horizontal="right" vertical="center"/>
    </xf>
    <xf numFmtId="0" fontId="1" fillId="0" borderId="62" xfId="0" applyFont="1" applyBorder="1" applyAlignment="1">
      <alignment horizontal="right" vertical="center"/>
    </xf>
    <xf numFmtId="0" fontId="0" fillId="0" borderId="6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right" vertical="center"/>
    </xf>
    <xf numFmtId="0" fontId="1" fillId="0" borderId="68" xfId="0" applyFont="1" applyBorder="1" applyAlignment="1">
      <alignment horizontal="right" vertical="center"/>
    </xf>
    <xf numFmtId="0" fontId="0" fillId="0" borderId="69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6" fillId="0" borderId="75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0" fillId="10" borderId="2" xfId="0" applyFont="1" applyFill="1" applyBorder="1" applyAlignment="1" applyProtection="1">
      <alignment horizontal="center" vertical="center"/>
      <protection locked="0"/>
    </xf>
    <xf numFmtId="0" fontId="0" fillId="10" borderId="76" xfId="0" applyFont="1" applyFill="1" applyBorder="1" applyAlignment="1" applyProtection="1">
      <alignment horizontal="center" vertical="center"/>
      <protection locked="0"/>
    </xf>
    <xf numFmtId="0" fontId="6" fillId="0" borderId="85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6" fillId="0" borderId="7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78" xfId="0" applyFont="1" applyFill="1" applyBorder="1" applyAlignment="1">
      <alignment horizontal="right"/>
    </xf>
    <xf numFmtId="0" fontId="6" fillId="0" borderId="79" xfId="0" applyFont="1" applyFill="1" applyBorder="1" applyAlignment="1">
      <alignment horizontal="right"/>
    </xf>
    <xf numFmtId="0" fontId="6" fillId="10" borderId="80" xfId="0" applyFont="1" applyFill="1" applyBorder="1" applyAlignment="1" applyProtection="1">
      <alignment horizontal="center"/>
      <protection locked="0"/>
    </xf>
    <xf numFmtId="0" fontId="6" fillId="10" borderId="81" xfId="0" applyFont="1" applyFill="1" applyBorder="1" applyAlignment="1" applyProtection="1">
      <alignment horizontal="center"/>
      <protection locked="0"/>
    </xf>
    <xf numFmtId="0" fontId="14" fillId="0" borderId="82" xfId="0" applyFont="1" applyFill="1" applyBorder="1" applyAlignment="1">
      <alignment horizontal="left"/>
    </xf>
    <xf numFmtId="0" fontId="14" fillId="0" borderId="83" xfId="0" applyFont="1" applyFill="1" applyBorder="1" applyAlignment="1">
      <alignment horizontal="left"/>
    </xf>
    <xf numFmtId="0" fontId="14" fillId="0" borderId="84" xfId="0" applyFont="1" applyFill="1" applyBorder="1" applyAlignment="1">
      <alignment horizontal="left"/>
    </xf>
    <xf numFmtId="0" fontId="14" fillId="0" borderId="61" xfId="0" applyFont="1" applyFill="1" applyBorder="1" applyAlignment="1"/>
    <xf numFmtId="0" fontId="14" fillId="0" borderId="63" xfId="0" applyFont="1" applyFill="1" applyBorder="1" applyAlignment="1"/>
    <xf numFmtId="0" fontId="14" fillId="0" borderId="64" xfId="0" applyFont="1" applyFill="1" applyBorder="1" applyAlignment="1"/>
    <xf numFmtId="0" fontId="6" fillId="0" borderId="71" xfId="0" applyFont="1" applyFill="1" applyBorder="1" applyAlignment="1">
      <alignment horizontal="right"/>
    </xf>
    <xf numFmtId="0" fontId="6" fillId="0" borderId="72" xfId="0" applyFont="1" applyFill="1" applyBorder="1" applyAlignment="1">
      <alignment horizontal="right"/>
    </xf>
    <xf numFmtId="0" fontId="6" fillId="10" borderId="73" xfId="0" applyFont="1" applyFill="1" applyBorder="1" applyAlignment="1" applyProtection="1">
      <alignment horizontal="center"/>
      <protection locked="0"/>
    </xf>
    <xf numFmtId="0" fontId="6" fillId="10" borderId="74" xfId="0" applyFont="1" applyFill="1" applyBorder="1" applyAlignment="1" applyProtection="1">
      <alignment horizontal="center"/>
      <protection locked="0"/>
    </xf>
    <xf numFmtId="0" fontId="6" fillId="0" borderId="116" xfId="0" applyFont="1" applyFill="1" applyBorder="1" applyAlignment="1">
      <alignment horizontal="right"/>
    </xf>
    <xf numFmtId="0" fontId="6" fillId="0" borderId="49" xfId="0" applyFont="1" applyFill="1" applyBorder="1" applyAlignment="1">
      <alignment horizontal="right"/>
    </xf>
    <xf numFmtId="0" fontId="6" fillId="0" borderId="101" xfId="0" applyFont="1" applyFill="1" applyBorder="1" applyAlignment="1">
      <alignment horizontal="right"/>
    </xf>
    <xf numFmtId="0" fontId="0" fillId="10" borderId="4" xfId="0" applyFont="1" applyFill="1" applyBorder="1" applyAlignment="1" applyProtection="1">
      <alignment horizontal="center" vertical="center"/>
      <protection locked="0"/>
    </xf>
    <xf numFmtId="0" fontId="0" fillId="10" borderId="77" xfId="0" applyFont="1" applyFill="1" applyBorder="1" applyAlignment="1" applyProtection="1">
      <alignment horizontal="center" vertical="center"/>
      <protection locked="0"/>
    </xf>
    <xf numFmtId="17" fontId="6" fillId="10" borderId="2" xfId="0" applyNumberFormat="1" applyFont="1" applyFill="1" applyBorder="1" applyAlignment="1" applyProtection="1">
      <alignment horizontal="center"/>
      <protection locked="0"/>
    </xf>
    <xf numFmtId="0" fontId="6" fillId="10" borderId="76" xfId="0" applyNumberFormat="1" applyFont="1" applyFill="1" applyBorder="1" applyAlignment="1" applyProtection="1">
      <alignment horizontal="center"/>
      <protection locked="0"/>
    </xf>
    <xf numFmtId="0" fontId="6" fillId="10" borderId="2" xfId="0" applyFont="1" applyFill="1" applyBorder="1" applyAlignment="1">
      <alignment horizontal="center"/>
    </xf>
    <xf numFmtId="0" fontId="6" fillId="10" borderId="76" xfId="0" applyFont="1" applyFill="1" applyBorder="1" applyAlignment="1">
      <alignment horizontal="center"/>
    </xf>
    <xf numFmtId="0" fontId="1" fillId="0" borderId="9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93" xfId="0" applyFont="1" applyBorder="1" applyAlignment="1" applyProtection="1">
      <alignment horizontal="center" vertical="center"/>
      <protection locked="0"/>
    </xf>
    <xf numFmtId="0" fontId="0" fillId="0" borderId="145" xfId="0" applyFont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>
      <alignment horizontal="right" vertical="center"/>
    </xf>
    <xf numFmtId="0" fontId="6" fillId="0" borderId="79" xfId="0" applyFont="1" applyFill="1" applyBorder="1" applyAlignment="1">
      <alignment horizontal="right" vertical="center"/>
    </xf>
    <xf numFmtId="0" fontId="14" fillId="0" borderId="61" xfId="0" applyFont="1" applyFill="1" applyBorder="1" applyAlignment="1">
      <alignment horizontal="center"/>
    </xf>
    <xf numFmtId="0" fontId="14" fillId="0" borderId="88" xfId="0" applyFont="1" applyFill="1" applyBorder="1" applyAlignment="1">
      <alignment horizontal="center"/>
    </xf>
    <xf numFmtId="0" fontId="14" fillId="0" borderId="91" xfId="0" applyFont="1" applyFill="1" applyBorder="1" applyAlignment="1">
      <alignment horizontal="center"/>
    </xf>
    <xf numFmtId="0" fontId="14" fillId="0" borderId="60" xfId="0" applyFont="1" applyFill="1" applyBorder="1" applyAlignment="1">
      <alignment horizontal="center"/>
    </xf>
    <xf numFmtId="0" fontId="1" fillId="0" borderId="144" xfId="0" applyFont="1" applyFill="1" applyBorder="1" applyAlignment="1">
      <alignment horizontal="center"/>
    </xf>
    <xf numFmtId="0" fontId="1" fillId="0" borderId="64" xfId="0" applyFont="1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13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vertical="center"/>
    </xf>
    <xf numFmtId="0" fontId="6" fillId="0" borderId="98" xfId="0" applyFont="1" applyFill="1" applyBorder="1" applyAlignment="1">
      <alignment horizontal="right"/>
    </xf>
    <xf numFmtId="0" fontId="6" fillId="0" borderId="10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85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6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99" xfId="0" applyFont="1" applyFill="1" applyBorder="1" applyAlignment="1">
      <alignment horizontal="right"/>
    </xf>
    <xf numFmtId="0" fontId="6" fillId="0" borderId="102" xfId="0" applyFont="1" applyFill="1" applyBorder="1" applyAlignment="1">
      <alignment horizontal="right"/>
    </xf>
    <xf numFmtId="0" fontId="14" fillId="0" borderId="75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4" fillId="0" borderId="78" xfId="0" applyFont="1" applyBorder="1" applyAlignment="1">
      <alignment horizontal="right" vertical="center"/>
    </xf>
    <xf numFmtId="0" fontId="14" fillId="0" borderId="79" xfId="0" applyFont="1" applyBorder="1" applyAlignment="1">
      <alignment horizontal="right" vertical="center"/>
    </xf>
    <xf numFmtId="0" fontId="0" fillId="0" borderId="78" xfId="0" applyFont="1" applyBorder="1" applyAlignment="1">
      <alignment horizontal="right" vertical="center"/>
    </xf>
    <xf numFmtId="0" fontId="0" fillId="0" borderId="79" xfId="0" applyFont="1" applyBorder="1" applyAlignment="1">
      <alignment horizontal="right" vertical="center"/>
    </xf>
    <xf numFmtId="0" fontId="11" fillId="0" borderId="75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" fillId="0" borderId="7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78" xfId="0" applyFont="1" applyBorder="1" applyAlignment="1">
      <alignment horizontal="right" vertical="center" wrapText="1"/>
    </xf>
    <xf numFmtId="0" fontId="1" fillId="0" borderId="79" xfId="0" applyFont="1" applyBorder="1" applyAlignment="1">
      <alignment horizontal="right" vertical="center" wrapText="1"/>
    </xf>
    <xf numFmtId="0" fontId="0" fillId="0" borderId="75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34" fillId="0" borderId="4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0" fontId="18" fillId="7" borderId="33" xfId="0" applyFont="1" applyFill="1" applyBorder="1" applyAlignment="1">
      <alignment horizontal="center" wrapText="1"/>
    </xf>
    <xf numFmtId="0" fontId="18" fillId="7" borderId="34" xfId="0" applyFont="1" applyFill="1" applyBorder="1" applyAlignment="1">
      <alignment horizontal="center" wrapText="1"/>
    </xf>
    <xf numFmtId="0" fontId="18" fillId="7" borderId="31" xfId="0" applyFont="1" applyFill="1" applyBorder="1" applyAlignment="1">
      <alignment horizontal="center" wrapText="1"/>
    </xf>
    <xf numFmtId="0" fontId="18" fillId="7" borderId="32" xfId="0" applyFont="1" applyFill="1" applyBorder="1" applyAlignment="1">
      <alignment horizontal="center" wrapText="1"/>
    </xf>
    <xf numFmtId="0" fontId="18" fillId="7" borderId="35" xfId="0" applyFont="1" applyFill="1" applyBorder="1" applyAlignment="1">
      <alignment horizontal="center" wrapText="1"/>
    </xf>
    <xf numFmtId="0" fontId="18" fillId="7" borderId="30" xfId="0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center" wrapText="1"/>
    </xf>
    <xf numFmtId="0" fontId="18" fillId="7" borderId="45" xfId="0" applyFont="1" applyFill="1" applyBorder="1" applyAlignment="1">
      <alignment horizontal="center" wrapText="1"/>
    </xf>
    <xf numFmtId="0" fontId="18" fillId="7" borderId="43" xfId="0" applyFont="1" applyFill="1" applyBorder="1" applyAlignment="1">
      <alignment horizontal="center" wrapText="1"/>
    </xf>
    <xf numFmtId="0" fontId="18" fillId="7" borderId="4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5" fillId="14" borderId="5" xfId="0" applyFont="1" applyFill="1" applyBorder="1" applyAlignment="1">
      <alignment horizontal="center"/>
    </xf>
    <xf numFmtId="0" fontId="40" fillId="7" borderId="4" xfId="0" applyFont="1" applyFill="1" applyBorder="1" applyAlignment="1">
      <alignment horizontal="center"/>
    </xf>
    <xf numFmtId="0" fontId="40" fillId="7" borderId="1" xfId="0" applyFont="1" applyFill="1" applyBorder="1" applyAlignment="1">
      <alignment horizontal="center"/>
    </xf>
    <xf numFmtId="0" fontId="40" fillId="7" borderId="5" xfId="0" applyFont="1" applyFill="1" applyBorder="1" applyAlignment="1">
      <alignment horizontal="center"/>
    </xf>
    <xf numFmtId="0" fontId="34" fillId="7" borderId="1" xfId="0" applyFont="1" applyFill="1" applyBorder="1" applyAlignment="1">
      <alignment horizontal="center"/>
    </xf>
    <xf numFmtId="0" fontId="34" fillId="7" borderId="5" xfId="0" applyFont="1" applyFill="1" applyBorder="1" applyAlignment="1">
      <alignment horizontal="center"/>
    </xf>
    <xf numFmtId="0" fontId="34" fillId="7" borderId="4" xfId="0" applyFont="1" applyFill="1" applyBorder="1" applyAlignment="1">
      <alignment horizontal="center"/>
    </xf>
    <xf numFmtId="0" fontId="18" fillId="7" borderId="33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 wrapText="1"/>
    </xf>
    <xf numFmtId="0" fontId="18" fillId="7" borderId="40" xfId="0" applyFont="1" applyFill="1" applyBorder="1" applyAlignment="1">
      <alignment horizontal="center" vertical="center" wrapText="1"/>
    </xf>
    <xf numFmtId="0" fontId="18" fillId="7" borderId="30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center"/>
    </xf>
    <xf numFmtId="0" fontId="15" fillId="7" borderId="38" xfId="0" applyFont="1" applyFill="1" applyBorder="1" applyAlignment="1">
      <alignment horizontal="center"/>
    </xf>
    <xf numFmtId="0" fontId="15" fillId="7" borderId="39" xfId="0" applyFont="1" applyFill="1" applyBorder="1" applyAlignment="1">
      <alignment horizontal="center"/>
    </xf>
    <xf numFmtId="0" fontId="18" fillId="7" borderId="26" xfId="0" applyFont="1" applyFill="1" applyBorder="1" applyAlignment="1">
      <alignment horizontal="center" wrapText="1"/>
    </xf>
    <xf numFmtId="0" fontId="18" fillId="7" borderId="28" xfId="0" applyFont="1" applyFill="1" applyBorder="1" applyAlignment="1">
      <alignment horizontal="center" wrapText="1"/>
    </xf>
    <xf numFmtId="0" fontId="18" fillId="7" borderId="27" xfId="0" applyFont="1" applyFill="1" applyBorder="1" applyAlignment="1">
      <alignment horizontal="center" wrapText="1"/>
    </xf>
    <xf numFmtId="0" fontId="10" fillId="3" borderId="15" xfId="3" applyAlignment="1">
      <alignment horizontal="center" vertical="center"/>
    </xf>
    <xf numFmtId="0" fontId="6" fillId="5" borderId="16" xfId="0" applyFont="1" applyFill="1" applyBorder="1" applyAlignment="1">
      <alignment horizontal="center" wrapText="1"/>
    </xf>
    <xf numFmtId="0" fontId="6" fillId="5" borderId="31" xfId="0" applyFont="1" applyFill="1" applyBorder="1" applyAlignment="1">
      <alignment horizontal="center" wrapText="1"/>
    </xf>
    <xf numFmtId="0" fontId="6" fillId="5" borderId="32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44" fillId="12" borderId="4" xfId="0" applyFont="1" applyFill="1" applyBorder="1" applyAlignment="1">
      <alignment horizontal="center" vertical="center"/>
    </xf>
    <xf numFmtId="0" fontId="44" fillId="12" borderId="1" xfId="0" applyFont="1" applyFill="1" applyBorder="1" applyAlignment="1">
      <alignment horizontal="center" vertical="center"/>
    </xf>
    <xf numFmtId="0" fontId="44" fillId="12" borderId="5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wrapText="1"/>
    </xf>
    <xf numFmtId="0" fontId="6" fillId="5" borderId="30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2" fontId="18" fillId="5" borderId="35" xfId="0" applyNumberFormat="1" applyFont="1" applyFill="1" applyBorder="1" applyAlignment="1">
      <alignment horizontal="center" vertical="center" wrapText="1"/>
    </xf>
    <xf numFmtId="2" fontId="18" fillId="5" borderId="30" xfId="0" applyNumberFormat="1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wrapText="1"/>
    </xf>
    <xf numFmtId="0" fontId="6" fillId="5" borderId="33" xfId="0" applyFont="1" applyFill="1" applyBorder="1" applyAlignment="1">
      <alignment horizontal="center" wrapText="1"/>
    </xf>
    <xf numFmtId="0" fontId="6" fillId="5" borderId="34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9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wrapText="1"/>
    </xf>
    <xf numFmtId="0" fontId="0" fillId="5" borderId="42" xfId="0" applyFill="1" applyBorder="1" applyAlignment="1">
      <alignment horizont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6" fontId="14" fillId="0" borderId="119" xfId="0" applyNumberFormat="1" applyFont="1" applyFill="1" applyBorder="1" applyAlignment="1">
      <alignment horizontal="center" vertical="center"/>
    </xf>
    <xf numFmtId="166" fontId="14" fillId="0" borderId="120" xfId="0" applyNumberFormat="1" applyFont="1" applyFill="1" applyBorder="1" applyAlignment="1">
      <alignment horizontal="center" vertical="center"/>
    </xf>
    <xf numFmtId="166" fontId="14" fillId="0" borderId="121" xfId="0" applyNumberFormat="1" applyFont="1" applyFill="1" applyBorder="1" applyAlignment="1">
      <alignment horizontal="center" vertical="center"/>
    </xf>
    <xf numFmtId="166" fontId="14" fillId="0" borderId="122" xfId="0" applyNumberFormat="1" applyFont="1" applyFill="1" applyBorder="1" applyAlignment="1">
      <alignment horizontal="left" vertical="center"/>
    </xf>
    <xf numFmtId="166" fontId="14" fillId="0" borderId="62" xfId="0" applyNumberFormat="1" applyFont="1" applyFill="1" applyBorder="1" applyAlignment="1">
      <alignment horizontal="left" vertical="center"/>
    </xf>
    <xf numFmtId="166" fontId="14" fillId="0" borderId="123" xfId="0" applyNumberFormat="1" applyFont="1" applyFill="1" applyBorder="1" applyAlignment="1">
      <alignment horizontal="left" vertical="center"/>
    </xf>
    <xf numFmtId="166" fontId="14" fillId="0" borderId="124" xfId="0" applyNumberFormat="1" applyFont="1" applyFill="1" applyBorder="1" applyAlignment="1">
      <alignment horizontal="left" vertical="center"/>
    </xf>
    <xf numFmtId="0" fontId="6" fillId="0" borderId="113" xfId="0" applyFont="1" applyFill="1" applyBorder="1" applyAlignment="1">
      <alignment horizontal="center" vertical="center" wrapText="1"/>
    </xf>
    <xf numFmtId="0" fontId="6" fillId="0" borderId="115" xfId="0" applyFont="1" applyFill="1" applyBorder="1" applyAlignment="1">
      <alignment horizontal="center" vertical="center" wrapText="1"/>
    </xf>
    <xf numFmtId="166" fontId="14" fillId="0" borderId="75" xfId="0" applyNumberFormat="1" applyFont="1" applyFill="1" applyBorder="1" applyAlignment="1">
      <alignment horizontal="left" vertical="center"/>
    </xf>
    <xf numFmtId="166" fontId="14" fillId="0" borderId="101" xfId="0" applyNumberFormat="1" applyFont="1" applyFill="1" applyBorder="1" applyAlignment="1">
      <alignment horizontal="left" vertical="center"/>
    </xf>
    <xf numFmtId="0" fontId="30" fillId="0" borderId="61" xfId="0" applyFont="1" applyFill="1" applyBorder="1" applyAlignment="1">
      <alignment horizontal="left" vertical="center"/>
    </xf>
    <xf numFmtId="0" fontId="30" fillId="0" borderId="63" xfId="0" applyFont="1" applyFill="1" applyBorder="1" applyAlignment="1">
      <alignment horizontal="left" vertical="center"/>
    </xf>
    <xf numFmtId="0" fontId="30" fillId="0" borderId="64" xfId="0" applyFont="1" applyFill="1" applyBorder="1" applyAlignment="1">
      <alignment horizontal="left" vertical="center"/>
    </xf>
    <xf numFmtId="0" fontId="14" fillId="0" borderId="105" xfId="0" applyFont="1" applyFill="1" applyBorder="1" applyAlignment="1">
      <alignment horizontal="left" vertical="center"/>
    </xf>
    <xf numFmtId="0" fontId="14" fillId="0" borderId="106" xfId="0" applyFont="1" applyFill="1" applyBorder="1" applyAlignment="1">
      <alignment horizontal="left" vertical="center"/>
    </xf>
    <xf numFmtId="0" fontId="14" fillId="0" borderId="107" xfId="0" applyFont="1" applyFill="1" applyBorder="1" applyAlignment="1">
      <alignment horizontal="left" vertical="center"/>
    </xf>
    <xf numFmtId="0" fontId="14" fillId="0" borderId="108" xfId="0" applyFont="1" applyFill="1" applyBorder="1" applyAlignment="1">
      <alignment horizontal="left" vertical="center"/>
    </xf>
    <xf numFmtId="0" fontId="14" fillId="0" borderId="109" xfId="0" applyFont="1" applyFill="1" applyBorder="1" applyAlignment="1">
      <alignment horizontal="center" vertical="center" wrapText="1"/>
    </xf>
    <xf numFmtId="0" fontId="14" fillId="0" borderId="89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4" fillId="0" borderId="96" xfId="0" applyFont="1" applyFill="1" applyBorder="1" applyAlignment="1">
      <alignment horizontal="center" vertical="center" wrapText="1"/>
    </xf>
    <xf numFmtId="0" fontId="14" fillId="0" borderId="85" xfId="0" applyFont="1" applyFill="1" applyBorder="1" applyAlignment="1">
      <alignment horizontal="center" vertical="center" wrapText="1"/>
    </xf>
    <xf numFmtId="0" fontId="14" fillId="0" borderId="116" xfId="0" applyFont="1" applyFill="1" applyBorder="1" applyAlignment="1">
      <alignment horizontal="center" vertical="center" wrapText="1"/>
    </xf>
    <xf numFmtId="0" fontId="6" fillId="0" borderId="110" xfId="0" applyFont="1" applyFill="1" applyBorder="1" applyAlignment="1">
      <alignment horizontal="center" vertical="center" wrapText="1"/>
    </xf>
    <xf numFmtId="0" fontId="6" fillId="0" borderId="112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4" fillId="0" borderId="1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114" xfId="0" applyFont="1" applyFill="1" applyBorder="1" applyAlignment="1">
      <alignment horizontal="center" vertical="center" wrapText="1"/>
    </xf>
    <xf numFmtId="166" fontId="6" fillId="0" borderId="9" xfId="0" applyNumberFormat="1" applyFont="1" applyFill="1" applyBorder="1" applyAlignment="1">
      <alignment horizontal="center" vertical="center" wrapText="1"/>
    </xf>
    <xf numFmtId="166" fontId="6" fillId="0" borderId="42" xfId="0" applyNumberFormat="1" applyFont="1" applyFill="1" applyBorder="1" applyAlignment="1">
      <alignment horizontal="center" vertical="center" wrapText="1"/>
    </xf>
    <xf numFmtId="0" fontId="6" fillId="13" borderId="13" xfId="3" applyFont="1" applyFill="1" applyBorder="1" applyAlignment="1">
      <alignment horizontal="center" vertical="center" wrapText="1"/>
    </xf>
    <xf numFmtId="0" fontId="6" fillId="13" borderId="52" xfId="3" applyFont="1" applyFill="1" applyBorder="1" applyAlignment="1">
      <alignment horizontal="center" vertical="center" wrapText="1"/>
    </xf>
    <xf numFmtId="165" fontId="6" fillId="13" borderId="2" xfId="3" applyNumberFormat="1" applyFont="1" applyFill="1" applyBorder="1" applyAlignment="1">
      <alignment horizontal="center" vertical="center" wrapText="1"/>
    </xf>
    <xf numFmtId="165" fontId="6" fillId="13" borderId="76" xfId="3" applyNumberFormat="1" applyFont="1" applyFill="1" applyBorder="1" applyAlignment="1">
      <alignment horizontal="center" vertical="center" wrapText="1"/>
    </xf>
    <xf numFmtId="0" fontId="6" fillId="0" borderId="79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30" fillId="0" borderId="63" xfId="0" applyFont="1" applyFill="1" applyBorder="1" applyAlignment="1">
      <alignment horizontal="left" vertical="center" wrapText="1"/>
    </xf>
    <xf numFmtId="0" fontId="30" fillId="0" borderId="64" xfId="0" applyFont="1" applyFill="1" applyBorder="1" applyAlignment="1">
      <alignment horizontal="left" vertical="center" wrapText="1"/>
    </xf>
    <xf numFmtId="166" fontId="6" fillId="0" borderId="113" xfId="0" applyNumberFormat="1" applyFont="1" applyFill="1" applyBorder="1" applyAlignment="1">
      <alignment horizontal="center" vertical="center" wrapText="1"/>
    </xf>
    <xf numFmtId="166" fontId="6" fillId="0" borderId="115" xfId="0" applyNumberFormat="1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14" fillId="0" borderId="71" xfId="0" applyFont="1" applyFill="1" applyBorder="1" applyAlignment="1">
      <alignment horizontal="center" vertical="center" wrapText="1"/>
    </xf>
    <xf numFmtId="0" fontId="14" fillId="0" borderId="75" xfId="0" applyFont="1" applyFill="1" applyBorder="1" applyAlignment="1">
      <alignment horizontal="center" vertical="center" wrapText="1"/>
    </xf>
    <xf numFmtId="0" fontId="14" fillId="0" borderId="7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0" borderId="9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166" fontId="14" fillId="0" borderId="109" xfId="0" applyNumberFormat="1" applyFont="1" applyFill="1" applyBorder="1" applyAlignment="1">
      <alignment horizontal="center" vertical="center" wrapText="1"/>
    </xf>
    <xf numFmtId="166" fontId="14" fillId="0" borderId="89" xfId="0" applyNumberFormat="1" applyFont="1" applyFill="1" applyBorder="1" applyAlignment="1">
      <alignment horizontal="center" vertical="center" wrapText="1"/>
    </xf>
    <xf numFmtId="166" fontId="14" fillId="0" borderId="65" xfId="0" applyNumberFormat="1" applyFont="1" applyFill="1" applyBorder="1" applyAlignment="1">
      <alignment horizontal="center" vertical="center" wrapText="1"/>
    </xf>
    <xf numFmtId="166" fontId="14" fillId="0" borderId="96" xfId="0" applyNumberFormat="1" applyFont="1" applyFill="1" applyBorder="1" applyAlignment="1">
      <alignment horizontal="center" vertical="center" wrapText="1"/>
    </xf>
    <xf numFmtId="166" fontId="14" fillId="0" borderId="85" xfId="0" applyNumberFormat="1" applyFont="1" applyFill="1" applyBorder="1" applyAlignment="1">
      <alignment horizontal="center" vertical="center" wrapText="1"/>
    </xf>
    <xf numFmtId="166" fontId="14" fillId="0" borderId="116" xfId="0" applyNumberFormat="1" applyFont="1" applyFill="1" applyBorder="1" applyAlignment="1">
      <alignment horizontal="center" vertical="center" wrapText="1"/>
    </xf>
    <xf numFmtId="166" fontId="6" fillId="0" borderId="110" xfId="0" applyNumberFormat="1" applyFont="1" applyFill="1" applyBorder="1" applyAlignment="1">
      <alignment horizontal="center" vertical="center" wrapText="1"/>
    </xf>
    <xf numFmtId="166" fontId="6" fillId="0" borderId="112" xfId="0" applyNumberFormat="1" applyFont="1" applyFill="1" applyBorder="1" applyAlignment="1">
      <alignment horizontal="center" vertical="center" wrapText="1"/>
    </xf>
    <xf numFmtId="166" fontId="14" fillId="0" borderId="48" xfId="0" applyNumberFormat="1" applyFont="1" applyFill="1" applyBorder="1" applyAlignment="1">
      <alignment horizontal="center" vertical="center"/>
    </xf>
    <xf numFmtId="166" fontId="14" fillId="0" borderId="49" xfId="0" applyNumberFormat="1" applyFont="1" applyFill="1" applyBorder="1" applyAlignment="1">
      <alignment horizontal="center" vertical="center"/>
    </xf>
    <xf numFmtId="166" fontId="14" fillId="0" borderId="111" xfId="0" applyNumberFormat="1" applyFont="1" applyFill="1" applyBorder="1" applyAlignment="1">
      <alignment horizontal="center" vertical="center"/>
    </xf>
    <xf numFmtId="166" fontId="6" fillId="0" borderId="50" xfId="0" applyNumberFormat="1" applyFont="1" applyFill="1" applyBorder="1" applyAlignment="1">
      <alignment horizontal="center" vertical="center" wrapText="1"/>
    </xf>
    <xf numFmtId="166" fontId="6" fillId="0" borderId="114" xfId="0" applyNumberFormat="1" applyFont="1" applyFill="1" applyBorder="1" applyAlignment="1">
      <alignment horizontal="center" vertical="center" wrapText="1"/>
    </xf>
    <xf numFmtId="0" fontId="14" fillId="0" borderId="78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6" fillId="0" borderId="71" xfId="0" applyFont="1" applyFill="1" applyBorder="1" applyAlignment="1">
      <alignment horizontal="right" vertical="center"/>
    </xf>
    <xf numFmtId="0" fontId="6" fillId="0" borderId="72" xfId="0" applyFont="1" applyFill="1" applyBorder="1" applyAlignment="1">
      <alignment horizontal="right" vertical="center"/>
    </xf>
    <xf numFmtId="170" fontId="6" fillId="13" borderId="133" xfId="0" applyNumberFormat="1" applyFont="1" applyFill="1" applyBorder="1" applyAlignment="1">
      <alignment horizontal="center" vertical="center"/>
    </xf>
    <xf numFmtId="170" fontId="6" fillId="13" borderId="72" xfId="0" applyNumberFormat="1" applyFont="1" applyFill="1" applyBorder="1" applyAlignment="1">
      <alignment horizontal="center" vertical="center"/>
    </xf>
    <xf numFmtId="0" fontId="6" fillId="0" borderId="133" xfId="0" applyFont="1" applyFill="1" applyBorder="1" applyAlignment="1">
      <alignment horizontal="right" vertical="center"/>
    </xf>
    <xf numFmtId="170" fontId="6" fillId="13" borderId="4" xfId="0" applyNumberFormat="1" applyFont="1" applyFill="1" applyBorder="1" applyAlignment="1">
      <alignment horizontal="center" vertical="center"/>
    </xf>
    <xf numFmtId="170" fontId="6" fillId="13" borderId="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133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6" fillId="0" borderId="111" xfId="0" applyFont="1" applyFill="1" applyBorder="1" applyAlignment="1">
      <alignment horizontal="center" vertical="center" wrapText="1"/>
    </xf>
    <xf numFmtId="0" fontId="6" fillId="0" borderId="90" xfId="0" applyFont="1" applyBorder="1" applyAlignment="1">
      <alignment horizontal="left" vertical="center"/>
    </xf>
    <xf numFmtId="0" fontId="6" fillId="0" borderId="129" xfId="0" applyFont="1" applyBorder="1" applyAlignment="1">
      <alignment horizontal="left" vertical="center"/>
    </xf>
    <xf numFmtId="0" fontId="14" fillId="0" borderId="90" xfId="0" applyFont="1" applyFill="1" applyBorder="1" applyAlignment="1">
      <alignment horizontal="left" vertical="center" wrapText="1"/>
    </xf>
    <xf numFmtId="0" fontId="14" fillId="0" borderId="129" xfId="0" applyFont="1" applyFill="1" applyBorder="1" applyAlignment="1">
      <alignment horizontal="left" vertical="center" wrapText="1"/>
    </xf>
    <xf numFmtId="0" fontId="30" fillId="0" borderId="82" xfId="0" applyFont="1" applyFill="1" applyBorder="1" applyAlignment="1">
      <alignment horizontal="center" vertical="center"/>
    </xf>
    <xf numFmtId="0" fontId="30" fillId="0" borderId="83" xfId="0" applyFont="1" applyFill="1" applyBorder="1" applyAlignment="1">
      <alignment horizontal="center" vertical="center"/>
    </xf>
    <xf numFmtId="0" fontId="30" fillId="0" borderId="84" xfId="0" applyFont="1" applyFill="1" applyBorder="1" applyAlignment="1">
      <alignment horizontal="center"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0" fontId="6" fillId="13" borderId="140" xfId="0" applyNumberFormat="1" applyFont="1" applyFill="1" applyBorder="1" applyAlignment="1">
      <alignment horizontal="center" vertical="center"/>
    </xf>
    <xf numFmtId="170" fontId="6" fillId="13" borderId="139" xfId="0" applyNumberFormat="1" applyFont="1" applyFill="1" applyBorder="1" applyAlignment="1">
      <alignment horizontal="center" vertical="center"/>
    </xf>
    <xf numFmtId="0" fontId="6" fillId="0" borderId="140" xfId="0" applyFont="1" applyFill="1" applyBorder="1" applyAlignment="1">
      <alignment horizontal="right" vertical="center"/>
    </xf>
    <xf numFmtId="0" fontId="6" fillId="0" borderId="139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9" xfId="0" applyFont="1" applyBorder="1" applyAlignment="1">
      <alignment horizontal="center"/>
    </xf>
    <xf numFmtId="0" fontId="6" fillId="0" borderId="139" xfId="0" applyFont="1" applyBorder="1" applyAlignment="1">
      <alignment horizontal="center"/>
    </xf>
    <xf numFmtId="0" fontId="14" fillId="0" borderId="71" xfId="0" applyFont="1" applyFill="1" applyBorder="1" applyAlignment="1">
      <alignment vertical="center"/>
    </xf>
    <xf numFmtId="0" fontId="14" fillId="0" borderId="48" xfId="0" applyFont="1" applyFill="1" applyBorder="1" applyAlignment="1">
      <alignment vertical="center"/>
    </xf>
    <xf numFmtId="0" fontId="14" fillId="0" borderId="111" xfId="0" applyFont="1" applyFill="1" applyBorder="1" applyAlignment="1">
      <alignment vertical="center"/>
    </xf>
    <xf numFmtId="170" fontId="6" fillId="13" borderId="86" xfId="0" applyNumberFormat="1" applyFont="1" applyFill="1" applyBorder="1" applyAlignment="1">
      <alignment horizontal="center" vertical="center"/>
    </xf>
    <xf numFmtId="170" fontId="6" fillId="13" borderId="79" xfId="0" applyNumberFormat="1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170" fontId="6" fillId="13" borderId="4" xfId="0" applyNumberFormat="1" applyFont="1" applyFill="1" applyBorder="1" applyAlignment="1">
      <alignment horizontal="left" vertical="center"/>
    </xf>
    <xf numFmtId="170" fontId="6" fillId="13" borderId="1" xfId="0" applyNumberFormat="1" applyFont="1" applyFill="1" applyBorder="1" applyAlignment="1">
      <alignment horizontal="left" vertical="center"/>
    </xf>
    <xf numFmtId="170" fontId="6" fillId="13" borderId="1" xfId="0" applyNumberFormat="1" applyFont="1" applyFill="1" applyBorder="1" applyAlignment="1">
      <alignment horizontal="center" vertical="center"/>
    </xf>
    <xf numFmtId="170" fontId="6" fillId="13" borderId="77" xfId="0" applyNumberFormat="1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right" vertical="center"/>
    </xf>
    <xf numFmtId="0" fontId="6" fillId="0" borderId="142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65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85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/>
    </xf>
    <xf numFmtId="0" fontId="39" fillId="0" borderId="3" xfId="0" applyFont="1" applyFill="1" applyBorder="1" applyAlignment="1">
      <alignment horizontal="center"/>
    </xf>
  </cellXfs>
  <cellStyles count="6">
    <cellStyle name="Comma" xfId="1" builtinId="3"/>
    <cellStyle name="Currency" xfId="5" builtinId="4"/>
    <cellStyle name="Good" xfId="2" builtinId="26"/>
    <cellStyle name="Input" xfId="3" builtinId="20"/>
    <cellStyle name="Normal" xfId="0" builtinId="0"/>
    <cellStyle name="Percent" xfId="4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Irradiance Comparison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v>Clear Diffuse</c:v>
          </c:tx>
          <c:spPr>
            <a:ln w="381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47.318870219476224</c:v>
              </c:pt>
              <c:pt idx="1">
                <c:v>91.483149090987396</c:v>
              </c:pt>
              <c:pt idx="2">
                <c:v>126.1836539186033</c:v>
              </c:pt>
              <c:pt idx="3">
                <c:v>157.72956739825398</c:v>
              </c:pt>
              <c:pt idx="4">
                <c:v>173.50252413807951</c:v>
              </c:pt>
              <c:pt idx="5">
                <c:v>179.81170683400967</c:v>
              </c:pt>
              <c:pt idx="6">
                <c:v>173.50252413807951</c:v>
              </c:pt>
              <c:pt idx="7">
                <c:v>157.72956739825398</c:v>
              </c:pt>
              <c:pt idx="8">
                <c:v>126.1836539186033</c:v>
              </c:pt>
              <c:pt idx="9">
                <c:v>91.483149090987396</c:v>
              </c:pt>
              <c:pt idx="10">
                <c:v>47.318870219476224</c:v>
              </c:pt>
            </c:numLit>
          </c:val>
        </c:ser>
        <c:ser>
          <c:idx val="1"/>
          <c:order val="1"/>
          <c:tx>
            <c:v>Clear Total</c:v>
          </c:tx>
          <c:spPr>
            <a:ln w="381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164.03875009418411</c:v>
              </c:pt>
              <c:pt idx="1">
                <c:v>359.62341366801923</c:v>
              </c:pt>
              <c:pt idx="2">
                <c:v>561.51725993778439</c:v>
              </c:pt>
              <c:pt idx="3">
                <c:v>747.63814946772459</c:v>
              </c:pt>
              <c:pt idx="4">
                <c:v>867.5126206903974</c:v>
              </c:pt>
              <c:pt idx="5">
                <c:v>908.52230821394346</c:v>
              </c:pt>
              <c:pt idx="6">
                <c:v>867.5126206903974</c:v>
              </c:pt>
              <c:pt idx="7">
                <c:v>747.63814946772459</c:v>
              </c:pt>
              <c:pt idx="8">
                <c:v>561.51725993778439</c:v>
              </c:pt>
              <c:pt idx="9">
                <c:v>359.62341366801923</c:v>
              </c:pt>
              <c:pt idx="10">
                <c:v>164.03875009418411</c:v>
              </c:pt>
            </c:numLit>
          </c:val>
        </c:ser>
        <c:ser>
          <c:idx val="2"/>
          <c:order val="2"/>
          <c:tx>
            <c:v>Mild Direct</c:v>
          </c:tx>
          <c:spPr>
            <a:ln w="381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69.401009655231888</c:v>
              </c:pt>
              <c:pt idx="1">
                <c:v>170.34793279011438</c:v>
              </c:pt>
              <c:pt idx="2">
                <c:v>283.9132213168574</c:v>
              </c:pt>
              <c:pt idx="3">
                <c:v>388.01473579970508</c:v>
              </c:pt>
              <c:pt idx="4">
                <c:v>460.57033680290169</c:v>
              </c:pt>
              <c:pt idx="5">
                <c:v>488.96165893458726</c:v>
              </c:pt>
              <c:pt idx="6">
                <c:v>460.57033680290169</c:v>
              </c:pt>
              <c:pt idx="7">
                <c:v>388.01473579970508</c:v>
              </c:pt>
              <c:pt idx="8">
                <c:v>283.9132213168574</c:v>
              </c:pt>
              <c:pt idx="9">
                <c:v>170.34793279011438</c:v>
              </c:pt>
              <c:pt idx="10">
                <c:v>69.401009655231888</c:v>
              </c:pt>
            </c:numLit>
          </c:val>
        </c:ser>
        <c:ser>
          <c:idx val="3"/>
          <c:order val="3"/>
          <c:tx>
            <c:v>Mild Diffuse</c:v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50.473461567441213</c:v>
              </c:pt>
              <c:pt idx="1">
                <c:v>97.792331786917572</c:v>
              </c:pt>
              <c:pt idx="2">
                <c:v>138.802019310464</c:v>
              </c:pt>
              <c:pt idx="3">
                <c:v>170.34793279011438</c:v>
              </c:pt>
              <c:pt idx="4">
                <c:v>192.43007222586985</c:v>
              </c:pt>
              <c:pt idx="5">
                <c:v>198.73925492179987</c:v>
              </c:pt>
              <c:pt idx="6">
                <c:v>192.43007222586985</c:v>
              </c:pt>
              <c:pt idx="7">
                <c:v>170.34793279011438</c:v>
              </c:pt>
              <c:pt idx="8">
                <c:v>138.802019310464</c:v>
              </c:pt>
              <c:pt idx="9">
                <c:v>97.792331786917572</c:v>
              </c:pt>
              <c:pt idx="10">
                <c:v>50.473461567441213</c:v>
              </c:pt>
            </c:numLit>
          </c:val>
        </c:ser>
        <c:ser>
          <c:idx val="4"/>
          <c:order val="4"/>
          <c:tx>
            <c:v>Mild Total</c:v>
          </c:tx>
          <c:spPr>
            <a:ln w="381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119.87447122267299</c:v>
              </c:pt>
              <c:pt idx="1">
                <c:v>268.14026457703238</c:v>
              </c:pt>
              <c:pt idx="2">
                <c:v>422.71524062732141</c:v>
              </c:pt>
              <c:pt idx="3">
                <c:v>558.36266858981821</c:v>
              </c:pt>
              <c:pt idx="4">
                <c:v>653.00040902877254</c:v>
              </c:pt>
              <c:pt idx="5">
                <c:v>687.70091385638852</c:v>
              </c:pt>
              <c:pt idx="6">
                <c:v>653.00040902877254</c:v>
              </c:pt>
              <c:pt idx="7">
                <c:v>558.36266858981821</c:v>
              </c:pt>
              <c:pt idx="8">
                <c:v>422.71524062732141</c:v>
              </c:pt>
              <c:pt idx="9">
                <c:v>268.14026457703238</c:v>
              </c:pt>
              <c:pt idx="10">
                <c:v>119.87447122267299</c:v>
              </c:pt>
            </c:numLit>
          </c:val>
        </c:ser>
        <c:ser>
          <c:idx val="5"/>
          <c:order val="5"/>
          <c:tx>
            <c:v>Cloudy Direct</c:v>
          </c:tx>
          <c:spPr>
            <a:ln w="381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28.391322131685726</c:v>
              </c:pt>
              <c:pt idx="1">
                <c:v>78.864783699127159</c:v>
              </c:pt>
              <c:pt idx="2">
                <c:v>141.95661065842881</c:v>
              </c:pt>
              <c:pt idx="3">
                <c:v>201.89384626976525</c:v>
              </c:pt>
              <c:pt idx="4">
                <c:v>249.2127164892415</c:v>
              </c:pt>
              <c:pt idx="5">
                <c:v>264.985673229067</c:v>
              </c:pt>
              <c:pt idx="6">
                <c:v>249.2127164892415</c:v>
              </c:pt>
              <c:pt idx="7">
                <c:v>201.89384626976525</c:v>
              </c:pt>
              <c:pt idx="8">
                <c:v>141.95661065842881</c:v>
              </c:pt>
              <c:pt idx="9">
                <c:v>78.864783699127159</c:v>
              </c:pt>
              <c:pt idx="10">
                <c:v>28.391322131685726</c:v>
              </c:pt>
            </c:numLit>
          </c:val>
        </c:ser>
        <c:ser>
          <c:idx val="6"/>
          <c:order val="6"/>
          <c:tx>
            <c:v>Cloudy Diffuse</c:v>
          </c:tx>
          <c:spPr>
            <a:ln w="381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50.473461567441213</c:v>
              </c:pt>
              <c:pt idx="1">
                <c:v>97.792331786917572</c:v>
              </c:pt>
              <c:pt idx="2">
                <c:v>138.802019310464</c:v>
              </c:pt>
              <c:pt idx="3">
                <c:v>170.34793279011438</c:v>
              </c:pt>
              <c:pt idx="4">
                <c:v>189.27548087790501</c:v>
              </c:pt>
              <c:pt idx="5">
                <c:v>195.58466357383512</c:v>
              </c:pt>
              <c:pt idx="6">
                <c:v>189.27548087790501</c:v>
              </c:pt>
              <c:pt idx="7">
                <c:v>170.34793279011438</c:v>
              </c:pt>
              <c:pt idx="8">
                <c:v>138.802019310464</c:v>
              </c:pt>
              <c:pt idx="9">
                <c:v>97.792331786917572</c:v>
              </c:pt>
              <c:pt idx="10">
                <c:v>50.473461567441213</c:v>
              </c:pt>
            </c:numLit>
          </c:val>
        </c:ser>
        <c:ser>
          <c:idx val="7"/>
          <c:order val="7"/>
          <c:tx>
            <c:v>Cloudy Total</c:v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78.864783699127159</c:v>
              </c:pt>
              <c:pt idx="1">
                <c:v>176.6571154860446</c:v>
              </c:pt>
              <c:pt idx="2">
                <c:v>280.75862996889185</c:v>
              </c:pt>
              <c:pt idx="3">
                <c:v>372.24177905987926</c:v>
              </c:pt>
              <c:pt idx="4">
                <c:v>438.48819736714603</c:v>
              </c:pt>
              <c:pt idx="5">
                <c:v>460.57033680290169</c:v>
              </c:pt>
              <c:pt idx="6">
                <c:v>438.48819736714603</c:v>
              </c:pt>
              <c:pt idx="7">
                <c:v>372.24177905987926</c:v>
              </c:pt>
              <c:pt idx="8">
                <c:v>280.75862996889185</c:v>
              </c:pt>
              <c:pt idx="9">
                <c:v>176.6571154860446</c:v>
              </c:pt>
              <c:pt idx="10">
                <c:v>78.864783699127159</c:v>
              </c:pt>
            </c:numLit>
          </c:val>
        </c:ser>
        <c:ser>
          <c:idx val="8"/>
          <c:order val="8"/>
          <c:tx>
            <c:v>Clear Direct</c:v>
          </c:tx>
          <c:spPr>
            <a:ln w="381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Lit>
              <c:formatCode>General</c:formatCode>
              <c:ptCount val="11"/>
              <c:pt idx="0">
                <c:v>116.71987987470804</c:v>
              </c:pt>
              <c:pt idx="1">
                <c:v>268.14026457703238</c:v>
              </c:pt>
              <c:pt idx="2">
                <c:v>435.33360601918133</c:v>
              </c:pt>
              <c:pt idx="3">
                <c:v>589.90858206947053</c:v>
              </c:pt>
              <c:pt idx="4">
                <c:v>694.01009655231803</c:v>
              </c:pt>
              <c:pt idx="5">
                <c:v>728.71060137993402</c:v>
              </c:pt>
              <c:pt idx="6">
                <c:v>694.01009655231803</c:v>
              </c:pt>
              <c:pt idx="7">
                <c:v>589.90858206947053</c:v>
              </c:pt>
              <c:pt idx="8">
                <c:v>435.33360601918133</c:v>
              </c:pt>
              <c:pt idx="9">
                <c:v>268.14026457703238</c:v>
              </c:pt>
              <c:pt idx="10">
                <c:v>116.71987987470804</c:v>
              </c:pt>
            </c:numLit>
          </c:val>
        </c:ser>
        <c:dLbls>
          <c:showVal val="1"/>
        </c:dLbls>
        <c:marker val="1"/>
        <c:axId val="93724032"/>
        <c:axId val="43958656"/>
      </c:lineChart>
      <c:catAx>
        <c:axId val="937240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58656"/>
        <c:crosses val="autoZero"/>
        <c:auto val="1"/>
        <c:lblAlgn val="ctr"/>
        <c:lblOffset val="100"/>
      </c:catAx>
      <c:valAx>
        <c:axId val="439586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2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Hourly Irradiance Clear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2"/>
          <c:order val="0"/>
          <c:tx>
            <c:v>Beam</c:v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'Irradiance (SI)'!$A$7:$A$19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'Irradiance (SI)'!$F$7:$F$19</c:f>
              <c:numCache>
                <c:formatCode>0</c:formatCode>
                <c:ptCount val="13"/>
                <c:pt idx="1">
                  <c:v>116.71987987470804</c:v>
                </c:pt>
                <c:pt idx="2">
                  <c:v>268.14026457703199</c:v>
                </c:pt>
                <c:pt idx="3">
                  <c:v>435.33360601918133</c:v>
                </c:pt>
                <c:pt idx="4">
                  <c:v>589.90858206947041</c:v>
                </c:pt>
                <c:pt idx="5">
                  <c:v>694.01009655231803</c:v>
                </c:pt>
                <c:pt idx="6">
                  <c:v>728.71060137993402</c:v>
                </c:pt>
                <c:pt idx="7">
                  <c:v>694.01009655231803</c:v>
                </c:pt>
                <c:pt idx="8">
                  <c:v>589.90858206947041</c:v>
                </c:pt>
                <c:pt idx="9">
                  <c:v>435.33360601918133</c:v>
                </c:pt>
                <c:pt idx="10">
                  <c:v>268.14026457703199</c:v>
                </c:pt>
                <c:pt idx="11">
                  <c:v>116.71987987470804</c:v>
                </c:pt>
              </c:numCache>
            </c:numRef>
          </c:val>
        </c:ser>
        <c:ser>
          <c:idx val="3"/>
          <c:order val="1"/>
          <c:tx>
            <c:v>Diffuse</c:v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'Irradiance (SI)'!$A$7:$A$19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'Irradiance (SI)'!$G$7:$G$19</c:f>
              <c:numCache>
                <c:formatCode>0</c:formatCode>
                <c:ptCount val="13"/>
                <c:pt idx="1">
                  <c:v>47.318870219476231</c:v>
                </c:pt>
                <c:pt idx="2">
                  <c:v>91.483149090987382</c:v>
                </c:pt>
                <c:pt idx="3">
                  <c:v>126.1836539186033</c:v>
                </c:pt>
                <c:pt idx="4">
                  <c:v>157.72956739825409</c:v>
                </c:pt>
                <c:pt idx="5">
                  <c:v>173.50252413807951</c:v>
                </c:pt>
                <c:pt idx="6">
                  <c:v>179.81170683400967</c:v>
                </c:pt>
                <c:pt idx="7">
                  <c:v>173.50252413807951</c:v>
                </c:pt>
                <c:pt idx="8">
                  <c:v>157.72956739825409</c:v>
                </c:pt>
                <c:pt idx="9">
                  <c:v>126.1836539186033</c:v>
                </c:pt>
                <c:pt idx="10">
                  <c:v>91.483149090987382</c:v>
                </c:pt>
                <c:pt idx="11">
                  <c:v>47.318870219476231</c:v>
                </c:pt>
              </c:numCache>
            </c:numRef>
          </c:val>
        </c:ser>
        <c:ser>
          <c:idx val="4"/>
          <c:order val="2"/>
          <c:tx>
            <c:v>Total</c:v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'Irradiance (SI)'!$A$7:$A$19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'Irradiance (SI)'!$H$7:$H$19</c:f>
              <c:numCache>
                <c:formatCode>0</c:formatCode>
                <c:ptCount val="13"/>
                <c:pt idx="1">
                  <c:v>164.03875009418428</c:v>
                </c:pt>
                <c:pt idx="2">
                  <c:v>359.62341366801934</c:v>
                </c:pt>
                <c:pt idx="3">
                  <c:v>561.51725993778462</c:v>
                </c:pt>
                <c:pt idx="4">
                  <c:v>747.63814946772447</c:v>
                </c:pt>
                <c:pt idx="5">
                  <c:v>867.51262069039751</c:v>
                </c:pt>
                <c:pt idx="6">
                  <c:v>908.52230821394357</c:v>
                </c:pt>
                <c:pt idx="7">
                  <c:v>867.51262069039751</c:v>
                </c:pt>
                <c:pt idx="8">
                  <c:v>747.63814946772447</c:v>
                </c:pt>
                <c:pt idx="9">
                  <c:v>561.51725993778462</c:v>
                </c:pt>
                <c:pt idx="10">
                  <c:v>359.62341366801934</c:v>
                </c:pt>
                <c:pt idx="11">
                  <c:v>164.03875009418428</c:v>
                </c:pt>
              </c:numCache>
            </c:numRef>
          </c:val>
        </c:ser>
        <c:marker val="1"/>
        <c:axId val="43976192"/>
        <c:axId val="43978112"/>
      </c:lineChart>
      <c:catAx>
        <c:axId val="43976192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#,##0" sourceLinked="0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78112"/>
        <c:crosses val="autoZero"/>
        <c:lblAlgn val="ctr"/>
        <c:lblOffset val="100"/>
      </c:catAx>
      <c:valAx>
        <c:axId val="43978112"/>
        <c:scaling>
          <c:orientation val="minMax"/>
          <c:min val="0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Irradiance</a:t>
                </a:r>
                <a:r>
                  <a:rPr lang="en-US" baseline="0"/>
                  <a:t> [W/m</a:t>
                </a:r>
                <a:r>
                  <a:rPr lang="en-US" baseline="30000"/>
                  <a:t>2</a:t>
                </a:r>
                <a:r>
                  <a:rPr lang="en-US" baseline="0"/>
                  <a:t>]</a:t>
                </a:r>
                <a:endParaRPr lang="en-US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" sourceLinked="0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7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Hourly Irradiance Mildly Cloudy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2"/>
          <c:order val="0"/>
          <c:tx>
            <c:v>Beam</c:v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'Irradiance (SI)'!$A$7:$A$19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'Irradiance (SI)'!$F$27:$F$39</c:f>
              <c:numCache>
                <c:formatCode>0</c:formatCode>
                <c:ptCount val="13"/>
                <c:pt idx="1">
                  <c:v>69.401009655231803</c:v>
                </c:pt>
                <c:pt idx="2">
                  <c:v>170.34793279011444</c:v>
                </c:pt>
                <c:pt idx="3">
                  <c:v>283.9132213168574</c:v>
                </c:pt>
                <c:pt idx="4">
                  <c:v>388.01473579970508</c:v>
                </c:pt>
                <c:pt idx="5">
                  <c:v>460.57033680290198</c:v>
                </c:pt>
                <c:pt idx="6">
                  <c:v>488.96165893458772</c:v>
                </c:pt>
                <c:pt idx="7">
                  <c:v>460.57033680290198</c:v>
                </c:pt>
                <c:pt idx="8">
                  <c:v>388.01473579970508</c:v>
                </c:pt>
                <c:pt idx="9">
                  <c:v>283.9132213168574</c:v>
                </c:pt>
                <c:pt idx="10">
                  <c:v>170.34793279011444</c:v>
                </c:pt>
                <c:pt idx="11">
                  <c:v>69.401009655231803</c:v>
                </c:pt>
              </c:numCache>
            </c:numRef>
          </c:val>
        </c:ser>
        <c:ser>
          <c:idx val="3"/>
          <c:order val="1"/>
          <c:tx>
            <c:v>Diffuse</c:v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'Irradiance (SI)'!$A$7:$A$19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'Irradiance (SI)'!$G$27:$G$39</c:f>
              <c:numCache>
                <c:formatCode>0</c:formatCode>
                <c:ptCount val="13"/>
                <c:pt idx="1">
                  <c:v>50.473461567441312</c:v>
                </c:pt>
                <c:pt idx="2">
                  <c:v>97.792331786917558</c:v>
                </c:pt>
                <c:pt idx="3">
                  <c:v>138.80201931046361</c:v>
                </c:pt>
                <c:pt idx="4">
                  <c:v>170.34793279011444</c:v>
                </c:pt>
                <c:pt idx="5">
                  <c:v>192.43007222587002</c:v>
                </c:pt>
                <c:pt idx="6">
                  <c:v>198.73925492180015</c:v>
                </c:pt>
                <c:pt idx="7">
                  <c:v>192.43007222587002</c:v>
                </c:pt>
                <c:pt idx="8">
                  <c:v>170.34793279011444</c:v>
                </c:pt>
                <c:pt idx="9">
                  <c:v>138.80201931046361</c:v>
                </c:pt>
                <c:pt idx="10">
                  <c:v>97.792331786917558</c:v>
                </c:pt>
                <c:pt idx="11">
                  <c:v>50.473461567441312</c:v>
                </c:pt>
              </c:numCache>
            </c:numRef>
          </c:val>
        </c:ser>
        <c:ser>
          <c:idx val="4"/>
          <c:order val="2"/>
          <c:tx>
            <c:v>Total</c:v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'Irradiance (SI)'!$A$7:$A$19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'Irradiance (SI)'!$H$27:$H$39</c:f>
              <c:numCache>
                <c:formatCode>0</c:formatCode>
                <c:ptCount val="13"/>
                <c:pt idx="1">
                  <c:v>119.87447122267312</c:v>
                </c:pt>
                <c:pt idx="2">
                  <c:v>268.14026457703199</c:v>
                </c:pt>
                <c:pt idx="3">
                  <c:v>422.71524062732101</c:v>
                </c:pt>
                <c:pt idx="4">
                  <c:v>558.36266858981946</c:v>
                </c:pt>
                <c:pt idx="5">
                  <c:v>653.00040902877208</c:v>
                </c:pt>
                <c:pt idx="6">
                  <c:v>687.70091385638784</c:v>
                </c:pt>
                <c:pt idx="7">
                  <c:v>653.00040902877208</c:v>
                </c:pt>
                <c:pt idx="8">
                  <c:v>558.36266858981946</c:v>
                </c:pt>
                <c:pt idx="9">
                  <c:v>422.71524062732101</c:v>
                </c:pt>
                <c:pt idx="10">
                  <c:v>268.14026457703199</c:v>
                </c:pt>
                <c:pt idx="11">
                  <c:v>119.87447122267312</c:v>
                </c:pt>
              </c:numCache>
            </c:numRef>
          </c:val>
        </c:ser>
        <c:marker val="1"/>
        <c:axId val="44016768"/>
        <c:axId val="44018688"/>
      </c:lineChart>
      <c:catAx>
        <c:axId val="44016768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18688"/>
        <c:crosses val="autoZero"/>
        <c:auto val="1"/>
        <c:lblAlgn val="ctr"/>
        <c:lblOffset val="100"/>
      </c:catAx>
      <c:valAx>
        <c:axId val="44018688"/>
        <c:scaling>
          <c:orientation val="minMax"/>
          <c:max val="1000"/>
          <c:min val="0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Irradiance</a:t>
                </a:r>
                <a:r>
                  <a:rPr lang="en-US" baseline="0"/>
                  <a:t> [W/m</a:t>
                </a:r>
                <a:r>
                  <a:rPr lang="en-US" baseline="30000"/>
                  <a:t>2</a:t>
                </a:r>
                <a:r>
                  <a:rPr lang="en-US" baseline="0"/>
                  <a:t>]</a:t>
                </a:r>
                <a:endParaRPr lang="en-US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1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Hourly Irradiance Cloudy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2"/>
          <c:order val="0"/>
          <c:tx>
            <c:v>Beam</c:v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'Irradiance (SI)'!$A$7:$A$19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'Irradiance (SI)'!$F$47:$F$59</c:f>
              <c:numCache>
                <c:formatCode>0</c:formatCode>
                <c:ptCount val="13"/>
                <c:pt idx="1">
                  <c:v>28.391322131685737</c:v>
                </c:pt>
                <c:pt idx="2">
                  <c:v>78.864783699127045</c:v>
                </c:pt>
                <c:pt idx="3">
                  <c:v>141.9566106584287</c:v>
                </c:pt>
                <c:pt idx="4">
                  <c:v>201.89384626976525</c:v>
                </c:pt>
                <c:pt idx="5">
                  <c:v>249.2127164892415</c:v>
                </c:pt>
                <c:pt idx="6">
                  <c:v>264.98567322906689</c:v>
                </c:pt>
                <c:pt idx="7">
                  <c:v>249.2127164892415</c:v>
                </c:pt>
                <c:pt idx="8">
                  <c:v>201.89384626976525</c:v>
                </c:pt>
                <c:pt idx="9">
                  <c:v>141.9566106584287</c:v>
                </c:pt>
                <c:pt idx="10">
                  <c:v>78.864783699127045</c:v>
                </c:pt>
                <c:pt idx="11">
                  <c:v>28.391322131685737</c:v>
                </c:pt>
              </c:numCache>
            </c:numRef>
          </c:val>
        </c:ser>
        <c:ser>
          <c:idx val="3"/>
          <c:order val="1"/>
          <c:tx>
            <c:v>Diffuse</c:v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'Irradiance (SI)'!$A$7:$A$19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'Irradiance (SI)'!$G$47:$G$59</c:f>
              <c:numCache>
                <c:formatCode>0</c:formatCode>
                <c:ptCount val="13"/>
                <c:pt idx="1">
                  <c:v>50.473461567441312</c:v>
                </c:pt>
                <c:pt idx="2">
                  <c:v>97.792331786917558</c:v>
                </c:pt>
                <c:pt idx="3">
                  <c:v>138.80201931046361</c:v>
                </c:pt>
                <c:pt idx="4">
                  <c:v>170.34793279011444</c:v>
                </c:pt>
                <c:pt idx="5">
                  <c:v>189.27548087790493</c:v>
                </c:pt>
                <c:pt idx="6">
                  <c:v>195.58466357383512</c:v>
                </c:pt>
                <c:pt idx="7">
                  <c:v>189.27548087790493</c:v>
                </c:pt>
                <c:pt idx="8">
                  <c:v>170.34793279011444</c:v>
                </c:pt>
                <c:pt idx="9">
                  <c:v>138.80201931046361</c:v>
                </c:pt>
                <c:pt idx="10">
                  <c:v>97.792331786917558</c:v>
                </c:pt>
                <c:pt idx="11">
                  <c:v>50.473461567441312</c:v>
                </c:pt>
              </c:numCache>
            </c:numRef>
          </c:val>
        </c:ser>
        <c:ser>
          <c:idx val="4"/>
          <c:order val="2"/>
          <c:tx>
            <c:v>Total</c:v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'Irradiance (SI)'!$A$7:$A$19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'Irradiance (SI)'!$H$47:$H$59</c:f>
              <c:numCache>
                <c:formatCode>0</c:formatCode>
                <c:ptCount val="13"/>
                <c:pt idx="1">
                  <c:v>78.864783699127045</c:v>
                </c:pt>
                <c:pt idx="2">
                  <c:v>176.6571154860446</c:v>
                </c:pt>
                <c:pt idx="3">
                  <c:v>280.75862996889231</c:v>
                </c:pt>
                <c:pt idx="4">
                  <c:v>372.24177905987972</c:v>
                </c:pt>
                <c:pt idx="5">
                  <c:v>438.48819736714643</c:v>
                </c:pt>
                <c:pt idx="6">
                  <c:v>460.57033680290198</c:v>
                </c:pt>
                <c:pt idx="7">
                  <c:v>438.48819736714643</c:v>
                </c:pt>
                <c:pt idx="8">
                  <c:v>372.24177905987972</c:v>
                </c:pt>
                <c:pt idx="9">
                  <c:v>280.75862996889231</c:v>
                </c:pt>
                <c:pt idx="10">
                  <c:v>176.6571154860446</c:v>
                </c:pt>
                <c:pt idx="11">
                  <c:v>78.864783699127045</c:v>
                </c:pt>
              </c:numCache>
            </c:numRef>
          </c:val>
        </c:ser>
        <c:marker val="1"/>
        <c:axId val="44032768"/>
        <c:axId val="44034688"/>
      </c:lineChart>
      <c:catAx>
        <c:axId val="44032768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34688"/>
        <c:crosses val="autoZero"/>
        <c:auto val="1"/>
        <c:lblAlgn val="ctr"/>
        <c:lblOffset val="100"/>
      </c:catAx>
      <c:valAx>
        <c:axId val="44034688"/>
        <c:scaling>
          <c:orientation val="minMax"/>
          <c:max val="1000"/>
          <c:min val="0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Irradiance</a:t>
                </a:r>
                <a:r>
                  <a:rPr lang="en-US" baseline="0"/>
                  <a:t> [W/m</a:t>
                </a:r>
                <a:r>
                  <a:rPr lang="en-US" baseline="30000"/>
                  <a:t>2</a:t>
                </a:r>
                <a:r>
                  <a:rPr lang="en-US" baseline="0"/>
                  <a:t>]</a:t>
                </a:r>
                <a:endParaRPr lang="en-US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3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IAM Test Values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'IAM, (Numerical)'!$B$2:$J$2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'IAM, (Numerical)'!$B$3:$J$3</c:f>
              <c:numCache>
                <c:formatCode>0.000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</c:ser>
        <c:axId val="44452864"/>
        <c:axId val="44455424"/>
      </c:scatterChart>
      <c:valAx>
        <c:axId val="444528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Incidence</a:t>
                </a:r>
                <a:r>
                  <a:rPr lang="en-US" baseline="0"/>
                  <a:t> Angle</a:t>
                </a:r>
                <a:endParaRPr lang="en-US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5424"/>
        <c:crosses val="autoZero"/>
        <c:crossBetween val="midCat"/>
      </c:valAx>
      <c:valAx>
        <c:axId val="44455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IAM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2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IAM by Linear Interpolation / Extrapolation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pPr>
                <a:solidFill>
                  <a:srgbClr val="FF33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</c:dPt>
          <c:dPt>
            <c:idx val="5"/>
            <c:marker>
              <c:spPr>
                <a:solidFill>
                  <a:srgbClr val="FF33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</c:dPt>
          <c:dPt>
            <c:idx val="9"/>
            <c:marker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</c:dPt>
          <c:xVal>
            <c:numRef>
              <c:f>'IAM, (Numerical)'!$C$25:$N$25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75</c:v>
                </c:pt>
                <c:pt idx="10">
                  <c:v>90</c:v>
                </c:pt>
              </c:numCache>
            </c:numRef>
          </c:xVal>
          <c:yVal>
            <c:numRef>
              <c:f>'IAM, (Numerical)'!$C$26:$N$26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</c:ser>
        <c:axId val="44476288"/>
        <c:axId val="44486656"/>
      </c:scatterChart>
      <c:valAx>
        <c:axId val="4447628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Incident Angle,</a:t>
                </a:r>
                <a:r>
                  <a:rPr lang="en-US" baseline="0"/>
                  <a:t> </a:t>
                </a:r>
                <a:r>
                  <a:rPr lang="el-GR" baseline="0"/>
                  <a:t>θ</a:t>
                </a:r>
                <a:r>
                  <a:rPr lang="en-US" baseline="0"/>
                  <a:t> degrees</a:t>
                </a:r>
                <a:endParaRPr lang="en-US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86656"/>
        <c:crosses val="autoZero"/>
        <c:crossBetween val="midCat"/>
      </c:valAx>
      <c:valAx>
        <c:axId val="444866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IAM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6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Isotropic Diffuse Irradiation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Modifier</a:t>
            </a:r>
          </a:p>
        </c:rich>
      </c:tx>
      <c:layout>
        <c:manualLayout>
          <c:xMode val="edge"/>
          <c:yMode val="edge"/>
          <c:x val="0.33897893108224225"/>
          <c:y val="9.7859346068404594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0571331291701983E-2"/>
          <c:y val="0.13418808720423553"/>
          <c:w val="0.77371159211123364"/>
          <c:h val="0.76329095587005813"/>
        </c:manualLayout>
      </c:layout>
      <c:scatterChart>
        <c:scatterStyle val="lineMarker"/>
        <c:ser>
          <c:idx val="0"/>
          <c:order val="0"/>
          <c:tx>
            <c:v>Kb(θi)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'Diffuse Modifier (Numerical)'!$B$7:$M$7</c:f>
              <c:numCache>
                <c:formatCode>0.00</c:formatCode>
                <c:ptCount val="12"/>
                <c:pt idx="0">
                  <c:v>0</c:v>
                </c:pt>
                <c:pt idx="1">
                  <c:v>0.17453292519943295</c:v>
                </c:pt>
                <c:pt idx="2">
                  <c:v>0.26179938779914941</c:v>
                </c:pt>
                <c:pt idx="3">
                  <c:v>0.3490658503988659</c:v>
                </c:pt>
                <c:pt idx="4">
                  <c:v>0.52359877559829882</c:v>
                </c:pt>
                <c:pt idx="5">
                  <c:v>0.69813170079773179</c:v>
                </c:pt>
                <c:pt idx="6">
                  <c:v>0.78539816339744828</c:v>
                </c:pt>
                <c:pt idx="7">
                  <c:v>0.87266462599716477</c:v>
                </c:pt>
                <c:pt idx="8">
                  <c:v>1.0471975511965976</c:v>
                </c:pt>
                <c:pt idx="9">
                  <c:v>1.2217304763960306</c:v>
                </c:pt>
                <c:pt idx="10">
                  <c:v>1.3089969389957472</c:v>
                </c:pt>
                <c:pt idx="11">
                  <c:v>1.5707963267948966</c:v>
                </c:pt>
              </c:numCache>
            </c:numRef>
          </c:xVal>
          <c:yVal>
            <c:numRef>
              <c:f>'Diffuse Modifier (Numerical)'!$B$8:$M$8</c:f>
              <c:numCache>
                <c:formatCode>0.000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</c:ser>
        <c:ser>
          <c:idx val="1"/>
          <c:order val="1"/>
          <c:tx>
            <c:v>sin(2θi)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'Diffuse Modifier (Numerical)'!$B$7:$M$7</c:f>
              <c:numCache>
                <c:formatCode>0.00</c:formatCode>
                <c:ptCount val="12"/>
                <c:pt idx="0">
                  <c:v>0</c:v>
                </c:pt>
                <c:pt idx="1">
                  <c:v>0.17453292519943295</c:v>
                </c:pt>
                <c:pt idx="2">
                  <c:v>0.26179938779914941</c:v>
                </c:pt>
                <c:pt idx="3">
                  <c:v>0.3490658503988659</c:v>
                </c:pt>
                <c:pt idx="4">
                  <c:v>0.52359877559829882</c:v>
                </c:pt>
                <c:pt idx="5">
                  <c:v>0.69813170079773179</c:v>
                </c:pt>
                <c:pt idx="6">
                  <c:v>0.78539816339744828</c:v>
                </c:pt>
                <c:pt idx="7">
                  <c:v>0.87266462599716477</c:v>
                </c:pt>
                <c:pt idx="8">
                  <c:v>1.0471975511965976</c:v>
                </c:pt>
                <c:pt idx="9">
                  <c:v>1.2217304763960306</c:v>
                </c:pt>
                <c:pt idx="10">
                  <c:v>1.3089969389957472</c:v>
                </c:pt>
                <c:pt idx="11">
                  <c:v>1.5707963267948966</c:v>
                </c:pt>
              </c:numCache>
            </c:numRef>
          </c:xVal>
          <c:yVal>
            <c:numRef>
              <c:f>'Diffuse Modifier (Numerical)'!$B$9:$M$9</c:f>
              <c:numCache>
                <c:formatCode>0.00</c:formatCode>
                <c:ptCount val="12"/>
                <c:pt idx="0">
                  <c:v>0</c:v>
                </c:pt>
                <c:pt idx="1">
                  <c:v>0.34202014332566871</c:v>
                </c:pt>
                <c:pt idx="2">
                  <c:v>0.49999999999999994</c:v>
                </c:pt>
                <c:pt idx="3">
                  <c:v>0.64278760968653925</c:v>
                </c:pt>
                <c:pt idx="4">
                  <c:v>0.8660254037844386</c:v>
                </c:pt>
                <c:pt idx="5">
                  <c:v>0.98480775301220802</c:v>
                </c:pt>
                <c:pt idx="6">
                  <c:v>1</c:v>
                </c:pt>
                <c:pt idx="7">
                  <c:v>0.98480775301220802</c:v>
                </c:pt>
                <c:pt idx="8">
                  <c:v>0.86602540378443871</c:v>
                </c:pt>
                <c:pt idx="9">
                  <c:v>0.64278760968653947</c:v>
                </c:pt>
                <c:pt idx="10">
                  <c:v>0.49999999999999994</c:v>
                </c:pt>
                <c:pt idx="11">
                  <c:v>1.22514845490862E-16</c:v>
                </c:pt>
              </c:numCache>
            </c:numRef>
          </c:yVal>
        </c:ser>
        <c:ser>
          <c:idx val="2"/>
          <c:order val="2"/>
          <c:tx>
            <c:v>Kb(θi).sin(2θi)</c:v>
          </c:tx>
          <c:spPr>
            <a:ln w="95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FF00"/>
              </a:solidFill>
              <a:ln w="95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'Diffuse Modifier (Numerical)'!$B$7:$M$7</c:f>
              <c:numCache>
                <c:formatCode>0.00</c:formatCode>
                <c:ptCount val="12"/>
                <c:pt idx="0">
                  <c:v>0</c:v>
                </c:pt>
                <c:pt idx="1">
                  <c:v>0.17453292519943295</c:v>
                </c:pt>
                <c:pt idx="2">
                  <c:v>0.26179938779914941</c:v>
                </c:pt>
                <c:pt idx="3">
                  <c:v>0.3490658503988659</c:v>
                </c:pt>
                <c:pt idx="4">
                  <c:v>0.52359877559829882</c:v>
                </c:pt>
                <c:pt idx="5">
                  <c:v>0.69813170079773179</c:v>
                </c:pt>
                <c:pt idx="6">
                  <c:v>0.78539816339744828</c:v>
                </c:pt>
                <c:pt idx="7">
                  <c:v>0.87266462599716477</c:v>
                </c:pt>
                <c:pt idx="8">
                  <c:v>1.0471975511965976</c:v>
                </c:pt>
                <c:pt idx="9">
                  <c:v>1.2217304763960306</c:v>
                </c:pt>
                <c:pt idx="10">
                  <c:v>1.3089969389957472</c:v>
                </c:pt>
                <c:pt idx="11">
                  <c:v>1.5707963267948966</c:v>
                </c:pt>
              </c:numCache>
            </c:numRef>
          </c:xVal>
          <c:yVal>
            <c:numRef>
              <c:f>'Diffuse Modifier (Numerical)'!$B$10:$M$10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</c:ser>
        <c:axId val="44549632"/>
        <c:axId val="44556288"/>
      </c:scatterChart>
      <c:valAx>
        <c:axId val="44549632"/>
        <c:scaling>
          <c:orientation val="minMax"/>
          <c:max val="1.6"/>
          <c:min val="0"/>
        </c:scaling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Incidence angle (radians)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56288"/>
        <c:crosses val="autoZero"/>
        <c:crossBetween val="midCat"/>
      </c:valAx>
      <c:valAx>
        <c:axId val="44556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9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71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11144250" y="1685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0</xdr:colOff>
      <xdr:row>19</xdr:row>
      <xdr:rowOff>190500</xdr:rowOff>
    </xdr:from>
    <xdr:to>
      <xdr:col>8</xdr:col>
      <xdr:colOff>9525</xdr:colOff>
      <xdr:row>30</xdr:row>
      <xdr:rowOff>133350</xdr:rowOff>
    </xdr:to>
    <xdr:sp macro="" textlink="">
      <xdr:nvSpPr>
        <xdr:cNvPr id="3" name="TextBox 2"/>
        <xdr:cNvSpPr txBox="1"/>
      </xdr:nvSpPr>
      <xdr:spPr>
        <a:xfrm>
          <a:off x="5905500" y="3952875"/>
          <a:ext cx="3152775" cy="214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Note:</a:t>
          </a:r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1)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Completion of all fields on this Input Data worksheet will  result in a fully populated "Certification (Tested)" worksheet.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2)  For collector rating results only, enter the gross area in cell C30, the performance parameters (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cells C60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through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C63), and the incidence angle modifiers (cells D70 through J70)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obtained from the laboratory test report.  Only the ratings fields in the "Certification (Tested)" worksheet will be populated.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 editAs="oneCell">
    <xdr:from>
      <xdr:col>5</xdr:col>
      <xdr:colOff>495304</xdr:colOff>
      <xdr:row>5</xdr:row>
      <xdr:rowOff>19050</xdr:rowOff>
    </xdr:from>
    <xdr:to>
      <xdr:col>7</xdr:col>
      <xdr:colOff>616095</xdr:colOff>
      <xdr:row>12</xdr:row>
      <xdr:rowOff>38100</xdr:rowOff>
    </xdr:to>
    <xdr:pic>
      <xdr:nvPicPr>
        <xdr:cNvPr id="4" name="Picture 3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0804" y="1047750"/>
          <a:ext cx="2216291" cy="1371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168416</xdr:colOff>
      <xdr:row>8</xdr:row>
      <xdr:rowOff>9525</xdr:rowOff>
    </xdr:to>
    <xdr:pic>
      <xdr:nvPicPr>
        <xdr:cNvPr id="2" name="Picture 1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190500"/>
          <a:ext cx="2216291" cy="13716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257176</xdr:colOff>
      <xdr:row>60</xdr:row>
      <xdr:rowOff>85725</xdr:rowOff>
    </xdr:from>
    <xdr:to>
      <xdr:col>15</xdr:col>
      <xdr:colOff>0</xdr:colOff>
      <xdr:row>78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428624</xdr:colOff>
      <xdr:row>1</xdr:row>
      <xdr:rowOff>28575</xdr:rowOff>
    </xdr:from>
    <xdr:to>
      <xdr:col>14</xdr:col>
      <xdr:colOff>28575</xdr:colOff>
      <xdr:row>19</xdr:row>
      <xdr:rowOff>28574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504825</xdr:colOff>
      <xdr:row>21</xdr:row>
      <xdr:rowOff>9525</xdr:rowOff>
    </xdr:from>
    <xdr:to>
      <xdr:col>14</xdr:col>
      <xdr:colOff>104776</xdr:colOff>
      <xdr:row>39</xdr:row>
      <xdr:rowOff>28574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514350</xdr:colOff>
      <xdr:row>41</xdr:row>
      <xdr:rowOff>104775</xdr:rowOff>
    </xdr:from>
    <xdr:to>
      <xdr:col>14</xdr:col>
      <xdr:colOff>114301</xdr:colOff>
      <xdr:row>59</xdr:row>
      <xdr:rowOff>57149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114300</xdr:colOff>
      <xdr:row>1</xdr:row>
      <xdr:rowOff>57150</xdr:rowOff>
    </xdr:from>
    <xdr:to>
      <xdr:col>17</xdr:col>
      <xdr:colOff>63641</xdr:colOff>
      <xdr:row>6</xdr:row>
      <xdr:rowOff>152400</xdr:rowOff>
    </xdr:to>
    <xdr:pic>
      <xdr:nvPicPr>
        <xdr:cNvPr id="6" name="Picture 5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001875" y="295275"/>
          <a:ext cx="2216291" cy="13716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3</xdr:row>
      <xdr:rowOff>104776</xdr:rowOff>
    </xdr:from>
    <xdr:to>
      <xdr:col>5</xdr:col>
      <xdr:colOff>9525</xdr:colOff>
      <xdr:row>22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352426</xdr:colOff>
      <xdr:row>3</xdr:row>
      <xdr:rowOff>104776</xdr:rowOff>
    </xdr:from>
    <xdr:to>
      <xdr:col>12</xdr:col>
      <xdr:colOff>419101</xdr:colOff>
      <xdr:row>22</xdr:row>
      <xdr:rowOff>123826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361952</xdr:colOff>
      <xdr:row>0</xdr:row>
      <xdr:rowOff>28575</xdr:rowOff>
    </xdr:from>
    <xdr:to>
      <xdr:col>11</xdr:col>
      <xdr:colOff>19049</xdr:colOff>
      <xdr:row>3</xdr:row>
      <xdr:rowOff>66675</xdr:rowOff>
    </xdr:to>
    <xdr:pic>
      <xdr:nvPicPr>
        <xdr:cNvPr id="5" name="Picture 4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734427" y="28575"/>
          <a:ext cx="1085847" cy="6858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114299</xdr:rowOff>
    </xdr:from>
    <xdr:to>
      <xdr:col>6</xdr:col>
      <xdr:colOff>647700</xdr:colOff>
      <xdr:row>35</xdr:row>
      <xdr:rowOff>28574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609601</xdr:colOff>
      <xdr:row>0</xdr:row>
      <xdr:rowOff>38100</xdr:rowOff>
    </xdr:from>
    <xdr:to>
      <xdr:col>12</xdr:col>
      <xdr:colOff>91755</xdr:colOff>
      <xdr:row>4</xdr:row>
      <xdr:rowOff>205740</xdr:rowOff>
    </xdr:to>
    <xdr:pic>
      <xdr:nvPicPr>
        <xdr:cNvPr id="3" name="Picture 2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86851" y="38100"/>
          <a:ext cx="1625279" cy="100584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16</xdr:col>
      <xdr:colOff>492035</xdr:colOff>
      <xdr:row>6</xdr:row>
      <xdr:rowOff>121920</xdr:rowOff>
    </xdr:to>
    <xdr:pic>
      <xdr:nvPicPr>
        <xdr:cNvPr id="2" name="Picture 1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0" y="228600"/>
          <a:ext cx="1920785" cy="118872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793305</xdr:colOff>
      <xdr:row>29</xdr:row>
      <xdr:rowOff>55594</xdr:rowOff>
    </xdr:from>
    <xdr:ext cx="2438553" cy="309315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2310736" y="6480042"/>
              <a:ext cx="2438553" cy="3093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</a:rPr>
                      <m:t>η</m:t>
                    </m:r>
                    <m:r>
                      <a:rPr lang="en-US" sz="1100" b="0" i="1" baseline="-25000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𝑢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𝑢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  <m:d>
                      <m:d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lang="en-US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"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2310736" y="6480042"/>
              <a:ext cx="2438553" cy="3093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η</a:t>
              </a:r>
              <a:r>
                <a:rPr lang="en-US" sz="1100" b="0" i="0" baseline="-25000">
                  <a:latin typeface="Cambria Math" panose="02040503050406030204" pitchFamily="18" charset="0"/>
                </a:rPr>
                <a:t>𝐺</a:t>
              </a:r>
              <a:r>
                <a:rPr lang="en-US" sz="1100" i="0">
                  <a:latin typeface="Cambria Math" panose="02040503050406030204" pitchFamily="18" charset="0"/>
                </a:rPr>
                <a:t>=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η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0 (1−𝑏_𝑢 𝑢)−〖(𝑏〗_1+𝑏_2 𝑢)</a:t>
              </a:r>
              <a:r>
                <a:rPr lang="en-US" sz="1100" i="0">
                  <a:latin typeface="Cambria Math" panose="02040503050406030204" pitchFamily="18" charset="0"/>
                </a:rPr>
                <a:t>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en-US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−𝑡_𝑎)/</a:t>
              </a:r>
              <a:r>
                <a:rPr lang="en-US" sz="1100" b="0" i="0">
                  <a:latin typeface="Cambria Math" panose="02040503050406030204" pitchFamily="18" charset="0"/>
                </a:rPr>
                <a:t>𝐺")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7</xdr:col>
      <xdr:colOff>781050</xdr:colOff>
      <xdr:row>28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8181975" y="693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266700</xdr:colOff>
      <xdr:row>29</xdr:row>
      <xdr:rowOff>76200</xdr:rowOff>
    </xdr:from>
    <xdr:ext cx="1438920" cy="309315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>
              <a:off x="7667625" y="7258050"/>
              <a:ext cx="1438920" cy="3093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</a:rPr>
                      <m:t>η</m:t>
                    </m:r>
                    <m:r>
                      <a:rPr lang="en-US" sz="1100" b="0" i="1" baseline="-25000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d>
                      <m:d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lang="en-US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𝑡𝑎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>
              <a:off x="7667625" y="7258050"/>
              <a:ext cx="1438920" cy="3093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η</a:t>
              </a:r>
              <a:r>
                <a:rPr lang="en-US" sz="1100" b="0" i="0" baseline="-25000">
                  <a:latin typeface="Cambria Math" panose="02040503050406030204" pitchFamily="18" charset="0"/>
                </a:rPr>
                <a:t>𝐺</a:t>
              </a:r>
              <a:r>
                <a:rPr lang="en-US" sz="1100" i="0">
                  <a:latin typeface="Cambria Math" panose="02040503050406030204" pitchFamily="18" charset="0"/>
                </a:rPr>
                <a:t>=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η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0𝐿  −𝑈</a:t>
              </a:r>
              <a:r>
                <a:rPr lang="en-US" sz="1100" i="0">
                  <a:latin typeface="Cambria Math" panose="02040503050406030204" pitchFamily="18" charset="0"/>
                </a:rPr>
                <a:t>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en-US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−𝑡𝑎)/</a:t>
              </a:r>
              <a:r>
                <a:rPr lang="en-US" sz="1100" b="0" i="0">
                  <a:latin typeface="Cambria Math" panose="02040503050406030204" pitchFamily="18" charset="0"/>
                </a:rPr>
                <a:t>𝐺)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7</xdr:col>
      <xdr:colOff>308959</xdr:colOff>
      <xdr:row>38</xdr:row>
      <xdr:rowOff>28330</xdr:rowOff>
    </xdr:from>
    <xdr:ext cx="1297599" cy="382284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5" name="TextBox 4"/>
            <xdr:cNvSpPr txBox="1"/>
          </xdr:nvSpPr>
          <xdr:spPr>
            <a:xfrm>
              <a:off x="7757509" y="3743080"/>
              <a:ext cx="1297599" cy="382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  <m:r>
                      <a:rPr lang="en-US" sz="12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𝑎𝑠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𝐺𝑠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′′</m:t>
                    </m:r>
                    <m:d>
                      <m:d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sty m:val="p"/>
                              </m:rPr>
                              <a:rPr lang="el-G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η</m:t>
                            </m:r>
                            <m:r>
                              <a:rPr lang="en-US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𝑏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200"/>
            </a:p>
          </xdr:txBody>
        </xdr:sp>
      </mc:Choice>
      <mc:Fallback>
        <xdr:sp macro="" textlink="">
          <xdr:nvSpPr>
            <xdr:cNvPr id="5" name="TextBox 4"/>
            <xdr:cNvSpPr txBox="1"/>
          </xdr:nvSpPr>
          <xdr:spPr>
            <a:xfrm>
              <a:off x="7757509" y="3743080"/>
              <a:ext cx="1297599" cy="382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0" i="0">
                  <a:latin typeface="Cambria Math" panose="02040503050406030204" pitchFamily="18" charset="0"/>
                </a:rPr>
                <a:t>𝑡_𝑠</a:t>
              </a:r>
              <a:r>
                <a:rPr lang="en-US" sz="1200" i="0">
                  <a:latin typeface="Cambria Math" panose="02040503050406030204" pitchFamily="18" charset="0"/>
                </a:rPr>
                <a:t>=</a:t>
              </a:r>
              <a:r>
                <a:rPr lang="en-US" sz="1200" b="0" i="0">
                  <a:latin typeface="Cambria Math" panose="02040503050406030204" pitchFamily="18" charset="0"/>
                </a:rPr>
                <a:t>𝑡_𝑎𝑠+𝐺</a:t>
              </a:r>
              <a:r>
                <a:rPr lang="en-US" sz="1200" b="0" i="0" baseline="-25000">
                  <a:latin typeface="Cambria Math" panose="02040503050406030204" pitchFamily="18" charset="0"/>
                </a:rPr>
                <a:t>𝑠</a:t>
              </a:r>
              <a:r>
                <a:rPr lang="en-US" sz="1200" b="0" i="0">
                  <a:latin typeface="Cambria Math" panose="02040503050406030204" pitchFamily="18" charset="0"/>
                </a:rPr>
                <a:t>′′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η</a:t>
              </a:r>
              <a:r>
                <a:rPr lang="en-US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0/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𝑏_1 )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11</xdr:col>
      <xdr:colOff>0</xdr:colOff>
      <xdr:row>27</xdr:row>
      <xdr:rowOff>0</xdr:rowOff>
    </xdr:from>
    <xdr:ext cx="65" cy="172227"/>
    <xdr:sp macro="" textlink="">
      <xdr:nvSpPr>
        <xdr:cNvPr id="10" name="TextBox 9"/>
        <xdr:cNvSpPr txBox="1"/>
      </xdr:nvSpPr>
      <xdr:spPr>
        <a:xfrm>
          <a:off x="8181975" y="6162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19050</xdr:colOff>
      <xdr:row>1</xdr:row>
      <xdr:rowOff>19050</xdr:rowOff>
    </xdr:from>
    <xdr:to>
      <xdr:col>9</xdr:col>
      <xdr:colOff>958760</xdr:colOff>
      <xdr:row>5</xdr:row>
      <xdr:rowOff>217170</xdr:rowOff>
    </xdr:to>
    <xdr:pic>
      <xdr:nvPicPr>
        <xdr:cNvPr id="7" name="Picture 6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8675" y="266700"/>
          <a:ext cx="1920785" cy="11887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1"/>
  <sheetViews>
    <sheetView zoomScaleNormal="100" workbookViewId="0">
      <selection activeCell="A72" sqref="A72"/>
    </sheetView>
  </sheetViews>
  <sheetFormatPr defaultRowHeight="15"/>
  <cols>
    <col min="1" max="2" width="20.7109375" style="111" customWidth="1"/>
    <col min="3" max="3" width="15.7109375" style="129" customWidth="1"/>
    <col min="4" max="4" width="15.7109375" style="130" customWidth="1"/>
    <col min="5" max="7" width="15.7109375" style="111" customWidth="1"/>
    <col min="8" max="28" width="15.7109375" style="63" customWidth="1"/>
    <col min="29" max="16384" width="9.140625" style="63"/>
  </cols>
  <sheetData>
    <row r="1" spans="1:18" ht="18.75">
      <c r="A1" s="416" t="s">
        <v>190</v>
      </c>
      <c r="B1" s="416"/>
      <c r="C1" s="416"/>
      <c r="D1" s="416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8" ht="15.75" thickBot="1">
      <c r="A2" s="108"/>
      <c r="B2" s="108"/>
      <c r="C2" s="109"/>
      <c r="D2" s="108"/>
      <c r="E2" s="108"/>
      <c r="F2" s="108"/>
      <c r="G2" s="108"/>
      <c r="H2" s="104"/>
      <c r="I2" s="104"/>
      <c r="J2" s="104"/>
      <c r="K2" s="110"/>
      <c r="L2" s="110"/>
      <c r="M2" s="110"/>
      <c r="N2" s="104"/>
      <c r="O2" s="104"/>
    </row>
    <row r="3" spans="1:18" ht="15.75" thickTop="1">
      <c r="A3" s="459" t="s">
        <v>91</v>
      </c>
      <c r="B3" s="460"/>
      <c r="C3" s="461"/>
      <c r="D3" s="462"/>
      <c r="G3" s="442"/>
      <c r="H3" s="112"/>
      <c r="I3" s="112"/>
      <c r="J3" s="112"/>
      <c r="K3" s="113"/>
      <c r="L3" s="114"/>
      <c r="M3" s="114"/>
      <c r="N3" s="112"/>
      <c r="O3" s="112"/>
    </row>
    <row r="4" spans="1:18">
      <c r="A4" s="463" t="s">
        <v>92</v>
      </c>
      <c r="B4" s="464"/>
      <c r="C4" s="465"/>
      <c r="D4" s="466"/>
      <c r="G4" s="443" t="s">
        <v>281</v>
      </c>
      <c r="H4" s="112"/>
      <c r="I4" s="112"/>
      <c r="J4" s="112"/>
      <c r="K4" s="115"/>
      <c r="L4" s="114"/>
      <c r="M4" s="114"/>
      <c r="N4" s="112"/>
      <c r="O4" s="116"/>
      <c r="P4" s="117"/>
      <c r="Q4" s="117"/>
    </row>
    <row r="5" spans="1:18" ht="15.75" thickBot="1">
      <c r="A5" s="467" t="s">
        <v>9</v>
      </c>
      <c r="B5" s="468"/>
      <c r="C5" s="469"/>
      <c r="D5" s="470"/>
      <c r="H5" s="112"/>
      <c r="I5" s="112"/>
      <c r="J5" s="112"/>
      <c r="K5" s="115"/>
      <c r="L5" s="114"/>
      <c r="M5" s="114"/>
      <c r="N5" s="112"/>
      <c r="O5" s="116"/>
      <c r="P5" s="117"/>
      <c r="Q5" s="117"/>
    </row>
    <row r="6" spans="1:18" ht="16.5" thickTop="1" thickBot="1">
      <c r="A6" s="486" t="s">
        <v>93</v>
      </c>
      <c r="B6" s="487"/>
      <c r="C6" s="487"/>
      <c r="D6" s="488"/>
      <c r="E6" s="63"/>
      <c r="F6" s="63"/>
      <c r="G6" s="63"/>
      <c r="K6" s="92"/>
      <c r="L6" s="92"/>
      <c r="M6" s="92"/>
      <c r="N6" s="118"/>
      <c r="O6" s="118"/>
      <c r="P6" s="119"/>
      <c r="Q6" s="120"/>
      <c r="R6" s="121"/>
    </row>
    <row r="7" spans="1:18">
      <c r="A7" s="489" t="s">
        <v>94</v>
      </c>
      <c r="B7" s="490"/>
      <c r="C7" s="491"/>
      <c r="D7" s="492"/>
      <c r="E7" s="63"/>
      <c r="K7" s="92"/>
      <c r="L7" s="92"/>
      <c r="M7" s="92"/>
      <c r="N7" s="118"/>
      <c r="O7" s="118"/>
      <c r="P7" s="119"/>
      <c r="Q7" s="120"/>
      <c r="R7" s="121"/>
    </row>
    <row r="8" spans="1:18">
      <c r="A8" s="471" t="s">
        <v>95</v>
      </c>
      <c r="B8" s="472"/>
      <c r="C8" s="473"/>
      <c r="D8" s="474"/>
      <c r="E8" s="63"/>
      <c r="K8" s="92"/>
      <c r="L8" s="92"/>
      <c r="M8" s="92"/>
      <c r="N8" s="118"/>
      <c r="O8" s="118"/>
      <c r="P8" s="119"/>
      <c r="Q8" s="120"/>
      <c r="R8" s="121"/>
    </row>
    <row r="9" spans="1:18">
      <c r="A9" s="471" t="s">
        <v>96</v>
      </c>
      <c r="B9" s="472"/>
      <c r="C9" s="473"/>
      <c r="D9" s="474"/>
      <c r="E9" s="63"/>
      <c r="K9" s="92"/>
      <c r="L9" s="92"/>
      <c r="M9" s="92"/>
      <c r="N9" s="118"/>
      <c r="O9" s="118"/>
      <c r="P9" s="119"/>
      <c r="Q9" s="120"/>
      <c r="R9" s="121"/>
    </row>
    <row r="10" spans="1:18">
      <c r="A10" s="471" t="s">
        <v>96</v>
      </c>
      <c r="B10" s="472"/>
      <c r="C10" s="496"/>
      <c r="D10" s="497"/>
      <c r="E10" s="63"/>
      <c r="K10" s="92"/>
      <c r="L10" s="92"/>
      <c r="M10" s="92"/>
      <c r="N10" s="118"/>
      <c r="O10" s="118"/>
      <c r="P10" s="119"/>
      <c r="Q10" s="120"/>
      <c r="R10" s="121"/>
    </row>
    <row r="11" spans="1:18">
      <c r="A11" s="471" t="s">
        <v>97</v>
      </c>
      <c r="B11" s="472"/>
      <c r="C11" s="498"/>
      <c r="D11" s="499"/>
      <c r="E11" s="63"/>
      <c r="K11" s="92"/>
      <c r="L11" s="92"/>
      <c r="M11" s="92"/>
      <c r="N11" s="118"/>
      <c r="O11" s="118"/>
      <c r="P11" s="119"/>
      <c r="Q11" s="120"/>
      <c r="R11" s="121"/>
    </row>
    <row r="12" spans="1:18">
      <c r="A12" s="471" t="s">
        <v>98</v>
      </c>
      <c r="B12" s="472"/>
      <c r="C12" s="500"/>
      <c r="D12" s="501"/>
      <c r="E12" s="63"/>
      <c r="F12" s="63"/>
      <c r="G12" s="63"/>
      <c r="K12" s="92"/>
      <c r="L12" s="92"/>
      <c r="M12" s="92"/>
      <c r="N12" s="118"/>
      <c r="O12" s="118"/>
      <c r="P12" s="119"/>
      <c r="Q12" s="120"/>
      <c r="R12" s="121"/>
    </row>
    <row r="13" spans="1:18" ht="15.75" thickBot="1">
      <c r="A13" s="479" t="s">
        <v>99</v>
      </c>
      <c r="B13" s="480"/>
      <c r="C13" s="481"/>
      <c r="D13" s="482"/>
      <c r="E13" s="105"/>
      <c r="F13" s="105"/>
      <c r="G13" s="105"/>
      <c r="H13" s="107"/>
      <c r="I13" s="107"/>
      <c r="J13" s="107"/>
      <c r="K13" s="92"/>
      <c r="L13" s="92"/>
      <c r="M13" s="92"/>
      <c r="N13" s="118"/>
      <c r="O13" s="118"/>
      <c r="P13" s="119"/>
      <c r="Q13" s="120"/>
      <c r="R13" s="121"/>
    </row>
    <row r="14" spans="1:18" ht="15.75" thickTop="1">
      <c r="A14" s="483" t="s">
        <v>100</v>
      </c>
      <c r="B14" s="484"/>
      <c r="C14" s="484"/>
      <c r="D14" s="485"/>
      <c r="E14" s="105"/>
      <c r="F14" s="105"/>
      <c r="G14" s="105"/>
      <c r="H14" s="107"/>
      <c r="I14" s="107"/>
      <c r="J14" s="107"/>
      <c r="K14" s="92"/>
      <c r="L14" s="92"/>
      <c r="M14" s="92"/>
      <c r="N14" s="118"/>
      <c r="O14" s="118"/>
      <c r="P14" s="119"/>
      <c r="Q14" s="120"/>
      <c r="R14" s="121"/>
    </row>
    <row r="15" spans="1:18">
      <c r="A15" s="471" t="s">
        <v>101</v>
      </c>
      <c r="B15" s="472"/>
      <c r="C15" s="455"/>
      <c r="D15" s="456"/>
      <c r="E15" s="122"/>
      <c r="F15" s="455" t="s">
        <v>102</v>
      </c>
      <c r="G15" s="457"/>
      <c r="H15" s="458"/>
      <c r="I15" s="123"/>
      <c r="J15" s="123"/>
      <c r="K15" s="92"/>
      <c r="L15" s="92"/>
      <c r="M15" s="92"/>
      <c r="N15" s="118"/>
      <c r="O15" s="118"/>
      <c r="P15" s="119"/>
      <c r="Q15" s="120"/>
      <c r="R15" s="121"/>
    </row>
    <row r="16" spans="1:18">
      <c r="A16" s="475" t="s">
        <v>103</v>
      </c>
      <c r="B16" s="476"/>
      <c r="C16" s="455"/>
      <c r="D16" s="456"/>
      <c r="E16" s="122"/>
      <c r="F16" s="446" t="s">
        <v>104</v>
      </c>
      <c r="G16" s="447"/>
      <c r="H16" s="448"/>
      <c r="I16" s="123"/>
      <c r="J16" s="123"/>
      <c r="K16" s="92"/>
      <c r="L16" s="92"/>
      <c r="M16" s="92"/>
      <c r="N16" s="118"/>
      <c r="O16" s="118"/>
      <c r="P16" s="119"/>
      <c r="Q16" s="120"/>
      <c r="R16" s="121"/>
    </row>
    <row r="17" spans="1:18">
      <c r="A17" s="477" t="s">
        <v>105</v>
      </c>
      <c r="B17" s="478"/>
      <c r="C17" s="402"/>
      <c r="D17" s="124" t="s">
        <v>23</v>
      </c>
      <c r="E17" s="125"/>
      <c r="F17" s="449" t="s">
        <v>106</v>
      </c>
      <c r="G17" s="450"/>
      <c r="H17" s="451"/>
      <c r="I17" s="125"/>
      <c r="J17" s="125"/>
      <c r="K17" s="92"/>
      <c r="L17" s="92"/>
      <c r="M17" s="92"/>
      <c r="N17" s="118"/>
      <c r="O17" s="118"/>
      <c r="P17" s="119"/>
      <c r="Q17" s="120"/>
      <c r="R17" s="121"/>
    </row>
    <row r="18" spans="1:18" ht="17.25">
      <c r="A18" s="477" t="s">
        <v>107</v>
      </c>
      <c r="B18" s="478"/>
      <c r="C18" s="402"/>
      <c r="D18" s="124" t="s">
        <v>108</v>
      </c>
      <c r="E18" s="125"/>
      <c r="F18" s="452" t="s">
        <v>109</v>
      </c>
      <c r="G18" s="453"/>
      <c r="H18" s="454"/>
      <c r="I18" s="125"/>
      <c r="J18" s="125"/>
      <c r="K18" s="92"/>
      <c r="L18" s="92"/>
      <c r="M18" s="92"/>
      <c r="N18" s="118"/>
      <c r="O18" s="118"/>
      <c r="P18" s="119"/>
      <c r="Q18" s="120"/>
      <c r="R18" s="121"/>
    </row>
    <row r="19" spans="1:18">
      <c r="A19" s="477" t="s">
        <v>110</v>
      </c>
      <c r="B19" s="478"/>
      <c r="C19" s="402"/>
      <c r="D19" s="124" t="s">
        <v>42</v>
      </c>
      <c r="E19" s="125"/>
      <c r="F19" s="92"/>
      <c r="G19" s="92"/>
      <c r="H19" s="126"/>
      <c r="I19" s="126"/>
      <c r="J19" s="118"/>
      <c r="K19" s="92"/>
      <c r="L19" s="92"/>
      <c r="M19" s="92"/>
      <c r="N19" s="118"/>
      <c r="O19" s="118"/>
      <c r="P19" s="119"/>
      <c r="Q19" s="120"/>
      <c r="R19" s="121"/>
    </row>
    <row r="20" spans="1:18" ht="15.75" thickBot="1">
      <c r="A20" s="506" t="s">
        <v>111</v>
      </c>
      <c r="B20" s="507"/>
      <c r="C20" s="403"/>
      <c r="D20" s="127" t="s">
        <v>15</v>
      </c>
      <c r="E20" s="128"/>
      <c r="F20" s="92"/>
      <c r="G20" s="92"/>
      <c r="H20" s="126"/>
      <c r="I20" s="126"/>
      <c r="J20" s="118"/>
      <c r="K20" s="92"/>
      <c r="L20" s="92"/>
      <c r="M20" s="92"/>
      <c r="N20" s="118"/>
      <c r="O20" s="118"/>
      <c r="P20" s="119"/>
      <c r="Q20" s="120"/>
      <c r="R20" s="121"/>
    </row>
    <row r="21" spans="1:18" ht="16.5" thickTop="1" thickBot="1">
      <c r="E21" s="125"/>
      <c r="F21" s="92"/>
      <c r="G21" s="92"/>
      <c r="H21" s="126"/>
      <c r="I21" s="126"/>
      <c r="J21" s="118"/>
      <c r="K21" s="131"/>
      <c r="L21" s="92"/>
    </row>
    <row r="22" spans="1:18" s="125" customFormat="1" ht="15.75" thickTop="1">
      <c r="A22" s="508" t="s">
        <v>112</v>
      </c>
      <c r="B22" s="509"/>
      <c r="C22" s="512" t="s">
        <v>113</v>
      </c>
      <c r="D22" s="513"/>
    </row>
    <row r="23" spans="1:18" s="125" customFormat="1" ht="15.75" thickBot="1">
      <c r="A23" s="510"/>
      <c r="B23" s="511"/>
      <c r="C23" s="514"/>
      <c r="D23" s="515"/>
    </row>
    <row r="24" spans="1:18" s="125" customFormat="1" ht="15.75" thickBot="1">
      <c r="A24" s="502" t="s">
        <v>114</v>
      </c>
      <c r="B24" s="503"/>
      <c r="C24" s="504"/>
      <c r="D24" s="505"/>
    </row>
    <row r="25" spans="1:18" s="125" customFormat="1">
      <c r="A25" s="489" t="s">
        <v>123</v>
      </c>
      <c r="B25" s="494"/>
      <c r="C25" s="407"/>
      <c r="D25" s="432"/>
    </row>
    <row r="26" spans="1:18" s="125" customFormat="1">
      <c r="A26" s="471" t="s">
        <v>225</v>
      </c>
      <c r="B26" s="495"/>
      <c r="C26" s="407"/>
      <c r="D26" s="432"/>
    </row>
    <row r="27" spans="1:18" s="125" customFormat="1">
      <c r="A27" s="475" t="s">
        <v>224</v>
      </c>
      <c r="B27" s="493"/>
      <c r="C27" s="408"/>
      <c r="D27" s="433"/>
    </row>
    <row r="28" spans="1:18" s="125" customFormat="1">
      <c r="A28" s="471" t="s">
        <v>115</v>
      </c>
      <c r="B28" s="495"/>
      <c r="C28" s="407"/>
      <c r="D28" s="432"/>
    </row>
    <row r="29" spans="1:18" s="125" customFormat="1" ht="15.75" thickBot="1">
      <c r="A29" s="517" t="s">
        <v>116</v>
      </c>
      <c r="B29" s="518"/>
      <c r="C29" s="409"/>
      <c r="D29" s="434"/>
    </row>
    <row r="30" spans="1:18" s="125" customFormat="1" ht="18">
      <c r="A30" s="520" t="s">
        <v>117</v>
      </c>
      <c r="B30" s="521"/>
      <c r="C30" s="404"/>
      <c r="D30" s="435" t="s">
        <v>118</v>
      </c>
    </row>
    <row r="31" spans="1:18" s="125" customFormat="1" ht="18">
      <c r="A31" s="477" t="s">
        <v>119</v>
      </c>
      <c r="B31" s="516"/>
      <c r="C31" s="405"/>
      <c r="D31" s="124" t="s">
        <v>118</v>
      </c>
    </row>
    <row r="32" spans="1:18" s="125" customFormat="1" ht="18">
      <c r="A32" s="477" t="s">
        <v>120</v>
      </c>
      <c r="B32" s="516"/>
      <c r="C32" s="405"/>
      <c r="D32" s="124" t="s">
        <v>118</v>
      </c>
    </row>
    <row r="33" spans="1:4" s="125" customFormat="1">
      <c r="A33" s="477" t="s">
        <v>10</v>
      </c>
      <c r="B33" s="516"/>
      <c r="C33" s="405"/>
      <c r="D33" s="124" t="s">
        <v>11</v>
      </c>
    </row>
    <row r="34" spans="1:4" s="125" customFormat="1">
      <c r="A34" s="477" t="s">
        <v>13</v>
      </c>
      <c r="B34" s="516"/>
      <c r="C34" s="422"/>
      <c r="D34" s="124" t="s">
        <v>11</v>
      </c>
    </row>
    <row r="35" spans="1:4" s="125" customFormat="1">
      <c r="A35" s="477" t="s">
        <v>14</v>
      </c>
      <c r="B35" s="516"/>
      <c r="C35" s="405"/>
      <c r="D35" s="124" t="s">
        <v>11</v>
      </c>
    </row>
    <row r="36" spans="1:4" s="125" customFormat="1">
      <c r="A36" s="477" t="s">
        <v>121</v>
      </c>
      <c r="B36" s="516"/>
      <c r="C36" s="405"/>
      <c r="D36" s="124" t="s">
        <v>17</v>
      </c>
    </row>
    <row r="37" spans="1:4" s="125" customFormat="1" ht="15.75" thickBot="1">
      <c r="A37" s="522" t="s">
        <v>222</v>
      </c>
      <c r="B37" s="523"/>
      <c r="C37" s="406"/>
      <c r="D37" s="436" t="s">
        <v>223</v>
      </c>
    </row>
    <row r="38" spans="1:4" s="125" customFormat="1">
      <c r="A38" s="437" t="s">
        <v>122</v>
      </c>
      <c r="B38" s="292"/>
      <c r="C38" s="291"/>
      <c r="D38" s="438"/>
    </row>
    <row r="39" spans="1:4" s="125" customFormat="1">
      <c r="A39" s="471" t="s">
        <v>123</v>
      </c>
      <c r="B39" s="519"/>
      <c r="C39" s="407"/>
      <c r="D39" s="432"/>
    </row>
    <row r="40" spans="1:4" s="125" customFormat="1">
      <c r="A40" s="471" t="s">
        <v>124</v>
      </c>
      <c r="B40" s="519"/>
      <c r="C40" s="407"/>
      <c r="D40" s="432"/>
    </row>
    <row r="41" spans="1:4" s="125" customFormat="1">
      <c r="A41" s="471" t="s">
        <v>125</v>
      </c>
      <c r="B41" s="519"/>
      <c r="C41" s="407"/>
      <c r="D41" s="432"/>
    </row>
    <row r="42" spans="1:4" s="125" customFormat="1">
      <c r="A42" s="471" t="s">
        <v>126</v>
      </c>
      <c r="B42" s="519"/>
      <c r="C42" s="407"/>
      <c r="D42" s="432"/>
    </row>
    <row r="43" spans="1:4" s="125" customFormat="1">
      <c r="A43" s="471" t="s">
        <v>127</v>
      </c>
      <c r="B43" s="519"/>
      <c r="C43" s="407"/>
      <c r="D43" s="432"/>
    </row>
    <row r="44" spans="1:4" s="125" customFormat="1">
      <c r="A44" s="471" t="s">
        <v>128</v>
      </c>
      <c r="B44" s="519"/>
      <c r="C44" s="407"/>
      <c r="D44" s="432"/>
    </row>
    <row r="45" spans="1:4" s="125" customFormat="1" ht="15.75" thickBot="1">
      <c r="A45" s="517" t="s">
        <v>129</v>
      </c>
      <c r="B45" s="524"/>
      <c r="C45" s="410"/>
      <c r="D45" s="434"/>
    </row>
    <row r="46" spans="1:4" s="125" customFormat="1">
      <c r="A46" s="471" t="s">
        <v>130</v>
      </c>
      <c r="B46" s="519"/>
      <c r="C46" s="411"/>
      <c r="D46" s="439" t="s">
        <v>18</v>
      </c>
    </row>
    <row r="47" spans="1:4" s="125" customFormat="1">
      <c r="A47" s="471" t="s">
        <v>131</v>
      </c>
      <c r="B47" s="519"/>
      <c r="C47" s="412"/>
      <c r="D47" s="439" t="s">
        <v>18</v>
      </c>
    </row>
    <row r="48" spans="1:4" s="125" customFormat="1">
      <c r="A48" s="471" t="s">
        <v>132</v>
      </c>
      <c r="B48" s="519"/>
      <c r="C48" s="412"/>
      <c r="D48" s="439" t="s">
        <v>18</v>
      </c>
    </row>
    <row r="49" spans="1:21" s="125" customFormat="1">
      <c r="A49" s="471" t="s">
        <v>133</v>
      </c>
      <c r="B49" s="519"/>
      <c r="C49" s="412"/>
      <c r="D49" s="439" t="s">
        <v>18</v>
      </c>
    </row>
    <row r="50" spans="1:21" s="125" customFormat="1">
      <c r="A50" s="471" t="s">
        <v>134</v>
      </c>
      <c r="B50" s="519"/>
      <c r="C50" s="412"/>
      <c r="D50" s="439" t="s">
        <v>18</v>
      </c>
    </row>
    <row r="51" spans="1:21" s="125" customFormat="1" ht="15.75" thickBot="1">
      <c r="A51" s="479" t="s">
        <v>280</v>
      </c>
      <c r="B51" s="525"/>
      <c r="C51" s="440"/>
      <c r="D51" s="441" t="s">
        <v>18</v>
      </c>
    </row>
    <row r="52" spans="1:21" s="125" customFormat="1" ht="16.5" thickTop="1" thickBot="1">
      <c r="C52" s="132"/>
      <c r="D52" s="133"/>
      <c r="H52" s="115"/>
      <c r="I52" s="115"/>
      <c r="J52" s="115"/>
      <c r="K52" s="92"/>
    </row>
    <row r="53" spans="1:21" s="125" customFormat="1" ht="15.75" thickTop="1">
      <c r="A53" s="134" t="s">
        <v>135</v>
      </c>
      <c r="B53" s="135"/>
      <c r="C53" s="136"/>
      <c r="D53" s="137"/>
      <c r="H53" s="115"/>
      <c r="I53" s="115"/>
      <c r="J53" s="115"/>
      <c r="K53" s="128"/>
    </row>
    <row r="54" spans="1:21" s="125" customFormat="1">
      <c r="A54" s="538" t="s">
        <v>136</v>
      </c>
      <c r="B54" s="539"/>
      <c r="C54" s="413"/>
      <c r="D54" s="138" t="s">
        <v>15</v>
      </c>
      <c r="H54" s="115"/>
      <c r="I54" s="115"/>
      <c r="J54" s="115"/>
      <c r="K54" s="92"/>
    </row>
    <row r="55" spans="1:21" s="115" customFormat="1">
      <c r="A55" s="538" t="s">
        <v>137</v>
      </c>
      <c r="B55" s="539"/>
      <c r="C55" s="413"/>
      <c r="D55" s="138" t="s">
        <v>15</v>
      </c>
      <c r="E55" s="125"/>
      <c r="F55" s="125"/>
      <c r="G55" s="125"/>
      <c r="K55" s="92"/>
    </row>
    <row r="56" spans="1:21" s="115" customFormat="1" ht="15.75" thickBot="1">
      <c r="A56" s="530" t="s">
        <v>138</v>
      </c>
      <c r="B56" s="531"/>
      <c r="C56" s="139" t="e">
        <f>AVERAGE(C54:C55)</f>
        <v>#DIV/0!</v>
      </c>
      <c r="D56" s="140" t="s">
        <v>15</v>
      </c>
      <c r="E56" s="125"/>
      <c r="F56" s="125"/>
      <c r="G56" s="125"/>
      <c r="K56" s="92"/>
    </row>
    <row r="57" spans="1:21" s="115" customFormat="1" ht="16.5" thickTop="1" thickBot="1">
      <c r="C57" s="141"/>
      <c r="E57" s="125"/>
      <c r="F57" s="125"/>
      <c r="G57" s="125"/>
      <c r="K57" s="92"/>
    </row>
    <row r="58" spans="1:21" s="115" customFormat="1" ht="18.75" thickTop="1">
      <c r="A58" s="134" t="s">
        <v>139</v>
      </c>
      <c r="B58" s="135"/>
      <c r="C58" s="136"/>
      <c r="D58" s="142"/>
      <c r="E58" s="125"/>
      <c r="F58" s="125"/>
      <c r="G58" s="125"/>
      <c r="K58" s="92"/>
    </row>
    <row r="59" spans="1:21" s="115" customFormat="1">
      <c r="A59" s="143" t="s">
        <v>140</v>
      </c>
      <c r="B59" s="5"/>
      <c r="C59" s="144"/>
      <c r="D59" s="145"/>
      <c r="E59" s="125"/>
      <c r="F59" s="125"/>
      <c r="G59" s="125"/>
      <c r="K59" s="92"/>
    </row>
    <row r="60" spans="1:21" s="115" customFormat="1">
      <c r="A60" s="532" t="s">
        <v>234</v>
      </c>
      <c r="B60" s="533"/>
      <c r="C60" s="402"/>
      <c r="D60" s="138"/>
      <c r="E60" s="125"/>
      <c r="F60" s="125"/>
      <c r="G60" s="125"/>
      <c r="K60" s="92"/>
      <c r="L60" s="146"/>
      <c r="M60" s="146"/>
      <c r="N60" s="147"/>
      <c r="O60" s="147"/>
      <c r="P60" s="147"/>
      <c r="Q60" s="147"/>
      <c r="R60" s="147"/>
      <c r="S60" s="147"/>
      <c r="T60" s="147"/>
      <c r="U60" s="147"/>
    </row>
    <row r="61" spans="1:21" s="115" customFormat="1" ht="18" customHeight="1">
      <c r="A61" s="532" t="s">
        <v>233</v>
      </c>
      <c r="B61" s="533"/>
      <c r="C61" s="402"/>
      <c r="D61" s="138" t="s">
        <v>231</v>
      </c>
      <c r="E61" s="125"/>
      <c r="F61" s="125"/>
      <c r="G61" s="125"/>
      <c r="K61" s="92"/>
      <c r="L61" s="146"/>
      <c r="M61" s="146"/>
      <c r="N61" s="147"/>
      <c r="O61" s="147"/>
      <c r="P61" s="147"/>
      <c r="Q61" s="147"/>
      <c r="R61" s="147"/>
      <c r="S61" s="147"/>
      <c r="T61" s="147"/>
      <c r="U61" s="147"/>
    </row>
    <row r="62" spans="1:21" s="115" customFormat="1">
      <c r="A62" s="534" t="s">
        <v>235</v>
      </c>
      <c r="B62" s="535"/>
      <c r="C62" s="426"/>
      <c r="D62" s="138" t="s">
        <v>37</v>
      </c>
      <c r="I62" s="92"/>
      <c r="J62" s="92"/>
    </row>
    <row r="63" spans="1:21" s="115" customFormat="1" ht="17.25">
      <c r="A63" s="534" t="s">
        <v>232</v>
      </c>
      <c r="B63" s="535"/>
      <c r="C63" s="402"/>
      <c r="D63" s="138" t="s">
        <v>277</v>
      </c>
      <c r="I63" s="121"/>
      <c r="J63" s="121"/>
    </row>
    <row r="64" spans="1:21" s="115" customFormat="1">
      <c r="A64" s="143" t="s">
        <v>273</v>
      </c>
      <c r="B64" s="5"/>
      <c r="C64" s="144"/>
      <c r="D64" s="145"/>
      <c r="I64" s="121"/>
      <c r="J64" s="121"/>
    </row>
    <row r="65" spans="1:10" s="115" customFormat="1">
      <c r="A65" s="532" t="s">
        <v>141</v>
      </c>
      <c r="B65" s="533"/>
      <c r="C65" s="426">
        <f>C60-(C61*0.6)</f>
        <v>0</v>
      </c>
      <c r="D65" s="138"/>
    </row>
    <row r="66" spans="1:10" s="115" customFormat="1" ht="15.75" thickBot="1">
      <c r="A66" s="536" t="s">
        <v>142</v>
      </c>
      <c r="B66" s="537"/>
      <c r="C66" s="427">
        <f>C62+(C63*0.6)</f>
        <v>0</v>
      </c>
      <c r="D66" s="140" t="s">
        <v>37</v>
      </c>
    </row>
    <row r="67" spans="1:10" s="115" customFormat="1" ht="16.5" thickTop="1" thickBot="1">
      <c r="C67" s="141"/>
      <c r="E67" s="125"/>
      <c r="F67" s="125"/>
      <c r="G67" s="125"/>
    </row>
    <row r="68" spans="1:10" s="115" customFormat="1" ht="15.75" thickTop="1">
      <c r="A68" s="134" t="s">
        <v>143</v>
      </c>
      <c r="B68" s="135"/>
      <c r="C68" s="148"/>
      <c r="D68" s="149"/>
      <c r="E68" s="150"/>
      <c r="F68" s="150"/>
      <c r="G68" s="150"/>
      <c r="H68" s="149"/>
      <c r="I68" s="149"/>
      <c r="J68" s="142"/>
    </row>
    <row r="69" spans="1:10" s="115" customFormat="1" ht="18">
      <c r="A69" s="526" t="s">
        <v>144</v>
      </c>
      <c r="B69" s="527"/>
      <c r="C69" s="151">
        <v>0</v>
      </c>
      <c r="D69" s="7">
        <v>10</v>
      </c>
      <c r="E69" s="7">
        <v>20</v>
      </c>
      <c r="F69" s="7">
        <v>30</v>
      </c>
      <c r="G69" s="3">
        <v>40</v>
      </c>
      <c r="H69" s="3">
        <v>50</v>
      </c>
      <c r="I69" s="3">
        <v>60</v>
      </c>
      <c r="J69" s="152">
        <v>70</v>
      </c>
    </row>
    <row r="70" spans="1:10" s="115" customFormat="1" ht="18.75" thickBot="1">
      <c r="A70" s="528" t="s">
        <v>145</v>
      </c>
      <c r="B70" s="529"/>
      <c r="C70" s="153">
        <v>1</v>
      </c>
      <c r="D70" s="414"/>
      <c r="E70" s="414"/>
      <c r="F70" s="414"/>
      <c r="G70" s="414"/>
      <c r="H70" s="414"/>
      <c r="I70" s="414"/>
      <c r="J70" s="415"/>
    </row>
    <row r="71" spans="1:10" s="115" customFormat="1" ht="15.75" thickTop="1">
      <c r="A71" s="154"/>
      <c r="B71" s="154"/>
      <c r="C71" s="155"/>
      <c r="D71" s="156"/>
      <c r="E71" s="156"/>
      <c r="F71" s="156"/>
      <c r="G71" s="156"/>
      <c r="H71" s="156"/>
      <c r="I71" s="156"/>
      <c r="J71" s="156"/>
    </row>
  </sheetData>
  <mergeCells count="75">
    <mergeCell ref="A50:B50"/>
    <mergeCell ref="A51:B51"/>
    <mergeCell ref="A69:B69"/>
    <mergeCell ref="A70:B70"/>
    <mergeCell ref="A56:B56"/>
    <mergeCell ref="A60:B60"/>
    <mergeCell ref="A62:B62"/>
    <mergeCell ref="A63:B63"/>
    <mergeCell ref="A65:B65"/>
    <mergeCell ref="A66:B66"/>
    <mergeCell ref="A54:B54"/>
    <mergeCell ref="A55:B55"/>
    <mergeCell ref="A61:B61"/>
    <mergeCell ref="A47:B47"/>
    <mergeCell ref="A48:B48"/>
    <mergeCell ref="A49:B49"/>
    <mergeCell ref="A37:B37"/>
    <mergeCell ref="A39:B39"/>
    <mergeCell ref="A40:B40"/>
    <mergeCell ref="A41:B41"/>
    <mergeCell ref="A43:B43"/>
    <mergeCell ref="A44:B44"/>
    <mergeCell ref="A45:B45"/>
    <mergeCell ref="A46:B46"/>
    <mergeCell ref="A36:B36"/>
    <mergeCell ref="A29:B29"/>
    <mergeCell ref="A42:B42"/>
    <mergeCell ref="A30:B30"/>
    <mergeCell ref="A28:B28"/>
    <mergeCell ref="A31:B31"/>
    <mergeCell ref="A32:B32"/>
    <mergeCell ref="A33:B33"/>
    <mergeCell ref="A34:B34"/>
    <mergeCell ref="A35:B35"/>
    <mergeCell ref="A27:B27"/>
    <mergeCell ref="A25:B25"/>
    <mergeCell ref="A26:B26"/>
    <mergeCell ref="A10:B10"/>
    <mergeCell ref="C10:D10"/>
    <mergeCell ref="A11:B11"/>
    <mergeCell ref="C11:D11"/>
    <mergeCell ref="A12:B12"/>
    <mergeCell ref="C12:D12"/>
    <mergeCell ref="A24:B24"/>
    <mergeCell ref="C24:D24"/>
    <mergeCell ref="A20:B20"/>
    <mergeCell ref="A22:B23"/>
    <mergeCell ref="C22:D23"/>
    <mergeCell ref="A6:D6"/>
    <mergeCell ref="A7:B7"/>
    <mergeCell ref="C7:D7"/>
    <mergeCell ref="A8:B8"/>
    <mergeCell ref="C8:D8"/>
    <mergeCell ref="A9:B9"/>
    <mergeCell ref="C9:D9"/>
    <mergeCell ref="A16:B16"/>
    <mergeCell ref="C16:D16"/>
    <mergeCell ref="A19:B19"/>
    <mergeCell ref="A17:B17"/>
    <mergeCell ref="A18:B18"/>
    <mergeCell ref="A13:B13"/>
    <mergeCell ref="C13:D13"/>
    <mergeCell ref="A14:D14"/>
    <mergeCell ref="A15:B15"/>
    <mergeCell ref="A3:B3"/>
    <mergeCell ref="C3:D3"/>
    <mergeCell ref="A4:B4"/>
    <mergeCell ref="C4:D4"/>
    <mergeCell ref="A5:B5"/>
    <mergeCell ref="C5:D5"/>
    <mergeCell ref="F16:H16"/>
    <mergeCell ref="F17:H17"/>
    <mergeCell ref="F18:H18"/>
    <mergeCell ref="C15:D15"/>
    <mergeCell ref="F15:H15"/>
  </mergeCells>
  <dataValidations count="2">
    <dataValidation type="list" errorStyle="information" allowBlank="1" showInputMessage="1" showErrorMessage="1" error="Recommend you select from list of ISO standards." promptTitle="Test Standards" prompt="Select from lis of Test Standards" sqref="C8:D10">
      <formula1>TestStandard</formula1>
    </dataValidation>
    <dataValidation type="list" errorStyle="warning" allowBlank="1" showInputMessage="1" showErrorMessage="1" error="Please choose from collector list." promptTitle="Collector Type List" prompt="Select collector type from list." sqref="C5:D5">
      <formula1>Type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34" sqref="A34"/>
    </sheetView>
  </sheetViews>
  <sheetFormatPr defaultRowHeight="15"/>
  <cols>
    <col min="1" max="1" width="25" style="106" customWidth="1"/>
    <col min="2" max="2" width="13.7109375" style="106" customWidth="1"/>
    <col min="3" max="3" width="9.140625" style="106"/>
    <col min="4" max="4" width="25.7109375" style="106" customWidth="1"/>
    <col min="5" max="5" width="13.7109375" style="106" customWidth="1"/>
    <col min="6" max="6" width="9.140625" style="106"/>
    <col min="7" max="7" width="30.7109375" style="106" customWidth="1"/>
    <col min="8" max="16384" width="9.140625" style="106"/>
  </cols>
  <sheetData>
    <row r="1" spans="1:5">
      <c r="A1" s="540" t="s">
        <v>191</v>
      </c>
      <c r="B1" s="541"/>
      <c r="D1" s="540" t="s">
        <v>61</v>
      </c>
      <c r="E1" s="541"/>
    </row>
    <row r="2" spans="1:5">
      <c r="A2" s="284" t="s">
        <v>192</v>
      </c>
      <c r="B2" s="285">
        <v>3.4121424999999999</v>
      </c>
      <c r="D2" s="284" t="s">
        <v>68</v>
      </c>
      <c r="E2" s="286">
        <v>0.29307100000000003</v>
      </c>
    </row>
    <row r="3" spans="1:5">
      <c r="A3" s="284" t="s">
        <v>193</v>
      </c>
      <c r="B3" s="285">
        <v>3412.1419999999998</v>
      </c>
      <c r="D3" s="284" t="s">
        <v>194</v>
      </c>
      <c r="E3" s="287">
        <v>2.93071E-4</v>
      </c>
    </row>
    <row r="4" spans="1:5">
      <c r="A4" s="284" t="s">
        <v>195</v>
      </c>
      <c r="B4" s="285">
        <v>3412.1419999999998</v>
      </c>
      <c r="D4" s="284" t="s">
        <v>196</v>
      </c>
      <c r="E4" s="287">
        <v>2.93071E-4</v>
      </c>
    </row>
    <row r="5" spans="1:5">
      <c r="A5" s="284" t="s">
        <v>197</v>
      </c>
      <c r="B5" s="288">
        <v>3.28084</v>
      </c>
      <c r="D5" s="284" t="s">
        <v>198</v>
      </c>
      <c r="E5" s="288">
        <v>0.30480000000000002</v>
      </c>
    </row>
    <row r="6" spans="1:5">
      <c r="A6" s="284" t="s">
        <v>199</v>
      </c>
      <c r="B6" s="288">
        <v>3.9370000000000002E-2</v>
      </c>
      <c r="D6" s="284" t="s">
        <v>200</v>
      </c>
      <c r="E6" s="288">
        <v>25.4</v>
      </c>
    </row>
    <row r="7" spans="1:5" s="294" customFormat="1">
      <c r="A7" s="284" t="s">
        <v>239</v>
      </c>
      <c r="B7" s="298">
        <v>6.2140000000000003E-4</v>
      </c>
      <c r="D7" s="284" t="s">
        <v>240</v>
      </c>
      <c r="E7" s="288">
        <v>1609.3440000000001</v>
      </c>
    </row>
    <row r="8" spans="1:5" ht="17.25">
      <c r="A8" s="284" t="s">
        <v>201</v>
      </c>
      <c r="B8" s="285">
        <v>10.763915051182416</v>
      </c>
      <c r="D8" s="284" t="s">
        <v>202</v>
      </c>
      <c r="E8" s="286">
        <v>9.2902999999999999E-2</v>
      </c>
    </row>
    <row r="9" spans="1:5" ht="17.25">
      <c r="A9" s="284" t="s">
        <v>203</v>
      </c>
      <c r="B9" s="288">
        <f>B2/B8</f>
        <v>0.31699827467750002</v>
      </c>
      <c r="D9" s="284" t="s">
        <v>204</v>
      </c>
      <c r="E9" s="285">
        <f>E2/E8</f>
        <v>3.154591347965082</v>
      </c>
    </row>
    <row r="10" spans="1:5" ht="17.25">
      <c r="A10" s="284" t="s">
        <v>205</v>
      </c>
      <c r="B10" s="289">
        <f>B3/B8</f>
        <v>316.99822822599998</v>
      </c>
      <c r="D10" s="284" t="s">
        <v>206</v>
      </c>
      <c r="E10" s="289">
        <f>E3/E8</f>
        <v>3.1545913479650821E-3</v>
      </c>
    </row>
    <row r="11" spans="1:5" ht="17.25">
      <c r="A11" s="284" t="s">
        <v>203</v>
      </c>
      <c r="B11" s="289">
        <f>B2/B8</f>
        <v>0.31699827467750002</v>
      </c>
      <c r="D11" s="284" t="s">
        <v>207</v>
      </c>
      <c r="E11" s="289">
        <f>E2/E8</f>
        <v>3.154591347965082</v>
      </c>
    </row>
    <row r="12" spans="1:5">
      <c r="A12" s="284" t="s">
        <v>208</v>
      </c>
      <c r="B12" s="289">
        <v>0.145038</v>
      </c>
      <c r="D12" s="284" t="s">
        <v>209</v>
      </c>
      <c r="E12" s="289">
        <v>6.8947570000000002</v>
      </c>
    </row>
    <row r="13" spans="1:5">
      <c r="A13" s="284" t="s">
        <v>210</v>
      </c>
      <c r="B13" s="289">
        <v>20.885546999999999</v>
      </c>
      <c r="D13" s="284" t="s">
        <v>211</v>
      </c>
      <c r="E13" s="289">
        <v>4.7879999999999999E-2</v>
      </c>
    </row>
    <row r="14" spans="1:5">
      <c r="A14" s="284" t="s">
        <v>212</v>
      </c>
      <c r="B14" s="290">
        <v>2.2046230000000002</v>
      </c>
      <c r="D14" s="284" t="s">
        <v>213</v>
      </c>
      <c r="E14" s="290">
        <v>0.453592</v>
      </c>
    </row>
    <row r="15" spans="1:5" ht="17.25">
      <c r="A15" s="284" t="s">
        <v>214</v>
      </c>
      <c r="B15" s="26">
        <v>1.8</v>
      </c>
      <c r="D15" s="284" t="s">
        <v>215</v>
      </c>
      <c r="E15" s="26">
        <v>5.5556000000000001E-2</v>
      </c>
    </row>
    <row r="21" spans="1:1">
      <c r="A21" s="106" t="s">
        <v>216</v>
      </c>
    </row>
    <row r="22" spans="1:1">
      <c r="A22" s="106" t="s">
        <v>36</v>
      </c>
    </row>
    <row r="23" spans="1:1">
      <c r="A23" s="106" t="s">
        <v>217</v>
      </c>
    </row>
    <row r="26" spans="1:1">
      <c r="A26" s="294" t="s">
        <v>218</v>
      </c>
    </row>
    <row r="27" spans="1:1">
      <c r="A27" s="294" t="s">
        <v>219</v>
      </c>
    </row>
    <row r="28" spans="1:1">
      <c r="A28" s="294" t="s">
        <v>220</v>
      </c>
    </row>
    <row r="29" spans="1:1">
      <c r="A29" s="294" t="s">
        <v>221</v>
      </c>
    </row>
    <row r="30" spans="1:1">
      <c r="A30" s="294" t="s">
        <v>272</v>
      </c>
    </row>
  </sheetData>
  <mergeCells count="2">
    <mergeCell ref="A1:B1"/>
    <mergeCell ref="D1:E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82"/>
  <sheetViews>
    <sheetView workbookViewId="0">
      <selection activeCell="A84" sqref="A84"/>
    </sheetView>
  </sheetViews>
  <sheetFormatPr defaultRowHeight="15"/>
  <cols>
    <col min="1" max="1" width="19" style="113" customWidth="1"/>
    <col min="2" max="15" width="15.7109375" style="113" customWidth="1"/>
    <col min="16" max="16384" width="9.140625" style="113"/>
  </cols>
  <sheetData>
    <row r="1" spans="1:28" ht="18.75">
      <c r="A1" s="747" t="s">
        <v>67</v>
      </c>
      <c r="B1" s="747"/>
      <c r="C1" s="747"/>
      <c r="D1" s="747"/>
      <c r="E1" s="747"/>
      <c r="F1" s="747"/>
      <c r="G1" s="747"/>
      <c r="H1" s="747"/>
      <c r="N1" s="351"/>
      <c r="O1" s="351"/>
      <c r="P1" s="352"/>
      <c r="Q1" s="352"/>
      <c r="R1" s="352"/>
      <c r="S1" s="352"/>
      <c r="T1" s="352"/>
      <c r="U1" s="352"/>
    </row>
    <row r="2" spans="1:28" ht="18.75">
      <c r="A2" s="555" t="s">
        <v>3</v>
      </c>
      <c r="B2" s="556"/>
      <c r="C2" s="556"/>
      <c r="D2" s="556"/>
      <c r="E2" s="556"/>
      <c r="F2" s="556"/>
      <c r="G2" s="556"/>
      <c r="H2" s="557"/>
      <c r="I2" s="353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</row>
    <row r="3" spans="1:28">
      <c r="A3" s="561" t="s">
        <v>1</v>
      </c>
      <c r="B3" s="564" t="s">
        <v>257</v>
      </c>
      <c r="C3" s="567" t="s">
        <v>7</v>
      </c>
      <c r="D3" s="568"/>
      <c r="E3" s="569"/>
      <c r="F3" s="567" t="s">
        <v>4</v>
      </c>
      <c r="G3" s="568"/>
      <c r="H3" s="569"/>
    </row>
    <row r="4" spans="1:28" ht="35.1" customHeight="1">
      <c r="A4" s="562"/>
      <c r="B4" s="565"/>
      <c r="C4" s="570" t="s">
        <v>69</v>
      </c>
      <c r="D4" s="571" t="s">
        <v>50</v>
      </c>
      <c r="E4" s="572" t="s">
        <v>249</v>
      </c>
      <c r="F4" s="570" t="s">
        <v>250</v>
      </c>
      <c r="G4" s="571" t="s">
        <v>251</v>
      </c>
      <c r="H4" s="572" t="s">
        <v>252</v>
      </c>
    </row>
    <row r="5" spans="1:28">
      <c r="A5" s="563"/>
      <c r="B5" s="566"/>
      <c r="C5" s="543"/>
      <c r="D5" s="545"/>
      <c r="E5" s="547"/>
      <c r="F5" s="543"/>
      <c r="G5" s="545"/>
      <c r="H5" s="547"/>
    </row>
    <row r="6" spans="1:28" ht="17.25">
      <c r="A6" s="355" t="s">
        <v>63</v>
      </c>
      <c r="B6" s="356" t="s">
        <v>5</v>
      </c>
      <c r="C6" s="355" t="s">
        <v>5</v>
      </c>
      <c r="D6" s="357" t="s">
        <v>5</v>
      </c>
      <c r="E6" s="356" t="s">
        <v>5</v>
      </c>
      <c r="F6" s="358" t="s">
        <v>253</v>
      </c>
      <c r="G6" s="359" t="s">
        <v>253</v>
      </c>
      <c r="H6" s="360" t="s">
        <v>253</v>
      </c>
    </row>
    <row r="7" spans="1:28">
      <c r="A7" s="361">
        <v>6</v>
      </c>
      <c r="B7" s="362">
        <f>(180/12)*ABS(12-A7)</f>
        <v>90</v>
      </c>
      <c r="C7" s="363">
        <f>B7</f>
        <v>90</v>
      </c>
      <c r="D7" s="364">
        <f>B7</f>
        <v>90</v>
      </c>
      <c r="E7" s="365">
        <v>0</v>
      </c>
      <c r="F7" s="366"/>
      <c r="G7" s="367"/>
      <c r="H7" s="368"/>
    </row>
    <row r="8" spans="1:28">
      <c r="A8" s="369">
        <v>7</v>
      </c>
      <c r="B8" s="370">
        <f t="shared" ref="B8:B19" si="0">(180/12)*ABS(12-A8)</f>
        <v>75</v>
      </c>
      <c r="C8" s="369">
        <f t="shared" ref="C8:C19" si="1">B8</f>
        <v>75</v>
      </c>
      <c r="D8" s="113">
        <f t="shared" ref="D8:D19" si="2">B8</f>
        <v>75</v>
      </c>
      <c r="E8" s="370">
        <v>0</v>
      </c>
      <c r="F8" s="371">
        <v>116.71987987470804</v>
      </c>
      <c r="G8" s="372">
        <v>47.318870219476231</v>
      </c>
      <c r="H8" s="373">
        <v>164.03875009418428</v>
      </c>
    </row>
    <row r="9" spans="1:28">
      <c r="A9" s="369">
        <v>8</v>
      </c>
      <c r="B9" s="370">
        <f t="shared" si="0"/>
        <v>60</v>
      </c>
      <c r="C9" s="369">
        <f t="shared" si="1"/>
        <v>60</v>
      </c>
      <c r="D9" s="113">
        <f t="shared" si="2"/>
        <v>60</v>
      </c>
      <c r="E9" s="370">
        <v>0</v>
      </c>
      <c r="F9" s="371">
        <v>268.14026457703199</v>
      </c>
      <c r="G9" s="372">
        <v>91.483149090987382</v>
      </c>
      <c r="H9" s="373">
        <v>359.62341366801934</v>
      </c>
    </row>
    <row r="10" spans="1:28">
      <c r="A10" s="369">
        <v>9</v>
      </c>
      <c r="B10" s="370">
        <f t="shared" si="0"/>
        <v>45</v>
      </c>
      <c r="C10" s="369">
        <f t="shared" si="1"/>
        <v>45</v>
      </c>
      <c r="D10" s="113">
        <f t="shared" si="2"/>
        <v>45</v>
      </c>
      <c r="E10" s="370">
        <v>0</v>
      </c>
      <c r="F10" s="371">
        <v>435.33360601918133</v>
      </c>
      <c r="G10" s="372">
        <v>126.1836539186033</v>
      </c>
      <c r="H10" s="373">
        <v>561.51725993778462</v>
      </c>
    </row>
    <row r="11" spans="1:28">
      <c r="A11" s="369">
        <v>10</v>
      </c>
      <c r="B11" s="370">
        <f t="shared" si="0"/>
        <v>30</v>
      </c>
      <c r="C11" s="369">
        <f t="shared" si="1"/>
        <v>30</v>
      </c>
      <c r="D11" s="113">
        <f t="shared" si="2"/>
        <v>30</v>
      </c>
      <c r="E11" s="370">
        <v>0</v>
      </c>
      <c r="F11" s="371">
        <v>589.90858206947041</v>
      </c>
      <c r="G11" s="372">
        <v>157.72956739825409</v>
      </c>
      <c r="H11" s="373">
        <v>747.63814946772447</v>
      </c>
    </row>
    <row r="12" spans="1:28">
      <c r="A12" s="369">
        <v>11</v>
      </c>
      <c r="B12" s="370">
        <f t="shared" si="0"/>
        <v>15</v>
      </c>
      <c r="C12" s="369">
        <f t="shared" si="1"/>
        <v>15</v>
      </c>
      <c r="D12" s="113">
        <f t="shared" si="2"/>
        <v>15</v>
      </c>
      <c r="E12" s="370">
        <v>0</v>
      </c>
      <c r="F12" s="371">
        <v>694.01009655231803</v>
      </c>
      <c r="G12" s="372">
        <v>173.50252413807951</v>
      </c>
      <c r="H12" s="373">
        <v>867.51262069039751</v>
      </c>
    </row>
    <row r="13" spans="1:28">
      <c r="A13" s="369">
        <v>12</v>
      </c>
      <c r="B13" s="370">
        <f t="shared" si="0"/>
        <v>0</v>
      </c>
      <c r="C13" s="369">
        <f t="shared" si="1"/>
        <v>0</v>
      </c>
      <c r="D13" s="113">
        <f t="shared" si="2"/>
        <v>0</v>
      </c>
      <c r="E13" s="370">
        <v>0</v>
      </c>
      <c r="F13" s="371">
        <v>728.71060137993402</v>
      </c>
      <c r="G13" s="372">
        <v>179.81170683400967</v>
      </c>
      <c r="H13" s="373">
        <v>908.52230821394357</v>
      </c>
    </row>
    <row r="14" spans="1:28">
      <c r="A14" s="369">
        <v>13</v>
      </c>
      <c r="B14" s="370">
        <f t="shared" si="0"/>
        <v>15</v>
      </c>
      <c r="C14" s="369">
        <f t="shared" si="1"/>
        <v>15</v>
      </c>
      <c r="D14" s="113">
        <f t="shared" si="2"/>
        <v>15</v>
      </c>
      <c r="E14" s="370">
        <v>0</v>
      </c>
      <c r="F14" s="371">
        <v>694.01009655231803</v>
      </c>
      <c r="G14" s="372">
        <v>173.50252413807951</v>
      </c>
      <c r="H14" s="373">
        <v>867.51262069039751</v>
      </c>
    </row>
    <row r="15" spans="1:28">
      <c r="A15" s="369">
        <v>14</v>
      </c>
      <c r="B15" s="370">
        <f t="shared" si="0"/>
        <v>30</v>
      </c>
      <c r="C15" s="369">
        <f t="shared" si="1"/>
        <v>30</v>
      </c>
      <c r="D15" s="113">
        <f t="shared" si="2"/>
        <v>30</v>
      </c>
      <c r="E15" s="370">
        <v>0</v>
      </c>
      <c r="F15" s="371">
        <v>589.90858206947041</v>
      </c>
      <c r="G15" s="372">
        <v>157.72956739825409</v>
      </c>
      <c r="H15" s="373">
        <v>747.63814946772447</v>
      </c>
    </row>
    <row r="16" spans="1:28">
      <c r="A16" s="369">
        <v>15</v>
      </c>
      <c r="B16" s="370">
        <f t="shared" si="0"/>
        <v>45</v>
      </c>
      <c r="C16" s="369">
        <f t="shared" si="1"/>
        <v>45</v>
      </c>
      <c r="D16" s="113">
        <f t="shared" si="2"/>
        <v>45</v>
      </c>
      <c r="E16" s="370">
        <v>0</v>
      </c>
      <c r="F16" s="371">
        <v>435.33360601918133</v>
      </c>
      <c r="G16" s="372">
        <v>126.1836539186033</v>
      </c>
      <c r="H16" s="373">
        <v>561.51725993778462</v>
      </c>
    </row>
    <row r="17" spans="1:10">
      <c r="A17" s="369">
        <v>16</v>
      </c>
      <c r="B17" s="370">
        <f t="shared" si="0"/>
        <v>60</v>
      </c>
      <c r="C17" s="369">
        <f t="shared" si="1"/>
        <v>60</v>
      </c>
      <c r="D17" s="113">
        <f t="shared" si="2"/>
        <v>60</v>
      </c>
      <c r="E17" s="370">
        <v>0</v>
      </c>
      <c r="F17" s="371">
        <v>268.14026457703199</v>
      </c>
      <c r="G17" s="372">
        <v>91.483149090987382</v>
      </c>
      <c r="H17" s="373">
        <v>359.62341366801934</v>
      </c>
    </row>
    <row r="18" spans="1:10">
      <c r="A18" s="369">
        <v>17</v>
      </c>
      <c r="B18" s="370">
        <f t="shared" si="0"/>
        <v>75</v>
      </c>
      <c r="C18" s="369">
        <f t="shared" si="1"/>
        <v>75</v>
      </c>
      <c r="D18" s="113">
        <f t="shared" si="2"/>
        <v>75</v>
      </c>
      <c r="E18" s="370">
        <v>0</v>
      </c>
      <c r="F18" s="371">
        <v>116.71987987470804</v>
      </c>
      <c r="G18" s="372">
        <v>47.318870219476231</v>
      </c>
      <c r="H18" s="373">
        <v>164.03875009418428</v>
      </c>
    </row>
    <row r="19" spans="1:10">
      <c r="A19" s="374">
        <v>18</v>
      </c>
      <c r="B19" s="375">
        <f t="shared" si="0"/>
        <v>90</v>
      </c>
      <c r="C19" s="369">
        <f t="shared" si="1"/>
        <v>90</v>
      </c>
      <c r="D19" s="113">
        <f t="shared" si="2"/>
        <v>90</v>
      </c>
      <c r="E19" s="370">
        <v>0</v>
      </c>
      <c r="F19" s="369"/>
      <c r="H19" s="370"/>
    </row>
    <row r="20" spans="1:10" ht="17.25">
      <c r="A20" s="552"/>
      <c r="B20" s="552"/>
      <c r="C20" s="376"/>
      <c r="D20" s="553" t="s">
        <v>254</v>
      </c>
      <c r="E20" s="554"/>
      <c r="F20" s="377">
        <f>SUM(F8:F19)/1000</f>
        <v>4.936935459565353</v>
      </c>
      <c r="G20" s="378">
        <f t="shared" ref="G20:H20" si="3">SUM(G8:G19)/1000</f>
        <v>1.3722472363648106</v>
      </c>
      <c r="H20" s="379">
        <f t="shared" si="3"/>
        <v>6.309182695930164</v>
      </c>
    </row>
    <row r="22" spans="1:10" ht="18.75">
      <c r="A22" s="555" t="s">
        <v>2</v>
      </c>
      <c r="B22" s="556"/>
      <c r="C22" s="556"/>
      <c r="D22" s="556"/>
      <c r="E22" s="556"/>
      <c r="F22" s="556"/>
      <c r="G22" s="556"/>
      <c r="H22" s="557"/>
      <c r="I22" s="380"/>
      <c r="J22" s="380"/>
    </row>
    <row r="23" spans="1:10">
      <c r="A23" s="561" t="s">
        <v>1</v>
      </c>
      <c r="B23" s="564" t="s">
        <v>257</v>
      </c>
      <c r="C23" s="567" t="s">
        <v>7</v>
      </c>
      <c r="D23" s="568"/>
      <c r="E23" s="569"/>
      <c r="F23" s="567" t="s">
        <v>4</v>
      </c>
      <c r="G23" s="568"/>
      <c r="H23" s="569"/>
      <c r="I23" s="380"/>
      <c r="J23" s="380"/>
    </row>
    <row r="24" spans="1:10" ht="35.1" customHeight="1">
      <c r="A24" s="562"/>
      <c r="B24" s="565"/>
      <c r="C24" s="570" t="s">
        <v>69</v>
      </c>
      <c r="D24" s="571" t="s">
        <v>50</v>
      </c>
      <c r="E24" s="572" t="s">
        <v>249</v>
      </c>
      <c r="F24" s="570" t="s">
        <v>250</v>
      </c>
      <c r="G24" s="571" t="s">
        <v>251</v>
      </c>
      <c r="H24" s="572" t="s">
        <v>252</v>
      </c>
      <c r="I24" s="380"/>
      <c r="J24" s="380"/>
    </row>
    <row r="25" spans="1:10">
      <c r="A25" s="563"/>
      <c r="B25" s="566"/>
      <c r="C25" s="543"/>
      <c r="D25" s="545"/>
      <c r="E25" s="547"/>
      <c r="F25" s="543"/>
      <c r="G25" s="545"/>
      <c r="H25" s="547"/>
    </row>
    <row r="26" spans="1:10" ht="17.25">
      <c r="A26" s="355" t="s">
        <v>63</v>
      </c>
      <c r="B26" s="356" t="s">
        <v>5</v>
      </c>
      <c r="C26" s="355" t="s">
        <v>5</v>
      </c>
      <c r="D26" s="357" t="s">
        <v>5</v>
      </c>
      <c r="E26" s="356" t="s">
        <v>5</v>
      </c>
      <c r="F26" s="358" t="s">
        <v>253</v>
      </c>
      <c r="G26" s="359" t="s">
        <v>253</v>
      </c>
      <c r="H26" s="360" t="s">
        <v>253</v>
      </c>
    </row>
    <row r="27" spans="1:10">
      <c r="A27" s="361">
        <v>6</v>
      </c>
      <c r="B27" s="362">
        <f>(180/12)*ABS(12-A27)</f>
        <v>90</v>
      </c>
      <c r="C27" s="363">
        <f>B27</f>
        <v>90</v>
      </c>
      <c r="D27" s="364">
        <f>B27</f>
        <v>90</v>
      </c>
      <c r="E27" s="365">
        <v>0</v>
      </c>
      <c r="F27" s="366"/>
      <c r="G27" s="367"/>
      <c r="H27" s="368"/>
    </row>
    <row r="28" spans="1:10">
      <c r="A28" s="369">
        <v>7</v>
      </c>
      <c r="B28" s="370">
        <f t="shared" ref="B28:B39" si="4">(180/12)*ABS(12-A28)</f>
        <v>75</v>
      </c>
      <c r="C28" s="369">
        <f t="shared" ref="C28:C39" si="5">B28</f>
        <v>75</v>
      </c>
      <c r="D28" s="113">
        <f t="shared" ref="D28:D39" si="6">B28</f>
        <v>75</v>
      </c>
      <c r="E28" s="370">
        <v>0</v>
      </c>
      <c r="F28" s="371">
        <v>69.401009655231803</v>
      </c>
      <c r="G28" s="372">
        <v>50.473461567441312</v>
      </c>
      <c r="H28" s="373">
        <v>119.87447122267312</v>
      </c>
    </row>
    <row r="29" spans="1:10">
      <c r="A29" s="369">
        <v>8</v>
      </c>
      <c r="B29" s="370">
        <f t="shared" si="4"/>
        <v>60</v>
      </c>
      <c r="C29" s="369">
        <f t="shared" si="5"/>
        <v>60</v>
      </c>
      <c r="D29" s="113">
        <f t="shared" si="6"/>
        <v>60</v>
      </c>
      <c r="E29" s="370">
        <v>0</v>
      </c>
      <c r="F29" s="371">
        <v>170.34793279011444</v>
      </c>
      <c r="G29" s="372">
        <v>97.792331786917558</v>
      </c>
      <c r="H29" s="373">
        <v>268.14026457703199</v>
      </c>
    </row>
    <row r="30" spans="1:10">
      <c r="A30" s="369">
        <v>9</v>
      </c>
      <c r="B30" s="370">
        <f t="shared" si="4"/>
        <v>45</v>
      </c>
      <c r="C30" s="369">
        <f t="shared" si="5"/>
        <v>45</v>
      </c>
      <c r="D30" s="113">
        <f t="shared" si="6"/>
        <v>45</v>
      </c>
      <c r="E30" s="370">
        <v>0</v>
      </c>
      <c r="F30" s="371">
        <v>283.9132213168574</v>
      </c>
      <c r="G30" s="372">
        <v>138.80201931046361</v>
      </c>
      <c r="H30" s="373">
        <v>422.71524062732101</v>
      </c>
    </row>
    <row r="31" spans="1:10">
      <c r="A31" s="369">
        <v>10</v>
      </c>
      <c r="B31" s="370">
        <f t="shared" si="4"/>
        <v>30</v>
      </c>
      <c r="C31" s="369">
        <f t="shared" si="5"/>
        <v>30</v>
      </c>
      <c r="D31" s="113">
        <f t="shared" si="6"/>
        <v>30</v>
      </c>
      <c r="E31" s="370">
        <v>0</v>
      </c>
      <c r="F31" s="371">
        <v>388.01473579970508</v>
      </c>
      <c r="G31" s="372">
        <v>170.34793279011444</v>
      </c>
      <c r="H31" s="373">
        <v>558.36266858981946</v>
      </c>
    </row>
    <row r="32" spans="1:10">
      <c r="A32" s="369">
        <v>11</v>
      </c>
      <c r="B32" s="370">
        <f t="shared" si="4"/>
        <v>15</v>
      </c>
      <c r="C32" s="369">
        <f t="shared" si="5"/>
        <v>15</v>
      </c>
      <c r="D32" s="113">
        <f t="shared" si="6"/>
        <v>15</v>
      </c>
      <c r="E32" s="370">
        <v>0</v>
      </c>
      <c r="F32" s="371">
        <v>460.57033680290198</v>
      </c>
      <c r="G32" s="372">
        <v>192.43007222587002</v>
      </c>
      <c r="H32" s="373">
        <v>653.00040902877208</v>
      </c>
    </row>
    <row r="33" spans="1:10">
      <c r="A33" s="369">
        <v>12</v>
      </c>
      <c r="B33" s="370">
        <f t="shared" si="4"/>
        <v>0</v>
      </c>
      <c r="C33" s="369">
        <f t="shared" si="5"/>
        <v>0</v>
      </c>
      <c r="D33" s="113">
        <f t="shared" si="6"/>
        <v>0</v>
      </c>
      <c r="E33" s="370">
        <v>0</v>
      </c>
      <c r="F33" s="371">
        <v>488.96165893458772</v>
      </c>
      <c r="G33" s="372">
        <v>198.73925492180015</v>
      </c>
      <c r="H33" s="373">
        <v>687.70091385638784</v>
      </c>
    </row>
    <row r="34" spans="1:10">
      <c r="A34" s="369">
        <v>13</v>
      </c>
      <c r="B34" s="370">
        <f t="shared" si="4"/>
        <v>15</v>
      </c>
      <c r="C34" s="369">
        <f t="shared" si="5"/>
        <v>15</v>
      </c>
      <c r="D34" s="113">
        <f t="shared" si="6"/>
        <v>15</v>
      </c>
      <c r="E34" s="370">
        <v>0</v>
      </c>
      <c r="F34" s="371">
        <v>460.57033680290198</v>
      </c>
      <c r="G34" s="372">
        <v>192.43007222587002</v>
      </c>
      <c r="H34" s="373">
        <v>653.00040902877208</v>
      </c>
    </row>
    <row r="35" spans="1:10">
      <c r="A35" s="369">
        <v>14</v>
      </c>
      <c r="B35" s="370">
        <f t="shared" si="4"/>
        <v>30</v>
      </c>
      <c r="C35" s="369">
        <f t="shared" si="5"/>
        <v>30</v>
      </c>
      <c r="D35" s="113">
        <f t="shared" si="6"/>
        <v>30</v>
      </c>
      <c r="E35" s="370">
        <v>0</v>
      </c>
      <c r="F35" s="371">
        <v>388.01473579970508</v>
      </c>
      <c r="G35" s="372">
        <v>170.34793279011444</v>
      </c>
      <c r="H35" s="373">
        <v>558.36266858981946</v>
      </c>
    </row>
    <row r="36" spans="1:10">
      <c r="A36" s="369">
        <v>15</v>
      </c>
      <c r="B36" s="370">
        <f t="shared" si="4"/>
        <v>45</v>
      </c>
      <c r="C36" s="369">
        <f t="shared" si="5"/>
        <v>45</v>
      </c>
      <c r="D36" s="113">
        <f t="shared" si="6"/>
        <v>45</v>
      </c>
      <c r="E36" s="370">
        <v>0</v>
      </c>
      <c r="F36" s="371">
        <v>283.9132213168574</v>
      </c>
      <c r="G36" s="372">
        <v>138.80201931046361</v>
      </c>
      <c r="H36" s="373">
        <v>422.71524062732101</v>
      </c>
    </row>
    <row r="37" spans="1:10">
      <c r="A37" s="369">
        <v>16</v>
      </c>
      <c r="B37" s="370">
        <f t="shared" si="4"/>
        <v>60</v>
      </c>
      <c r="C37" s="369">
        <f t="shared" si="5"/>
        <v>60</v>
      </c>
      <c r="D37" s="113">
        <f t="shared" si="6"/>
        <v>60</v>
      </c>
      <c r="E37" s="370">
        <v>0</v>
      </c>
      <c r="F37" s="371">
        <v>170.34793279011444</v>
      </c>
      <c r="G37" s="372">
        <v>97.792331786917558</v>
      </c>
      <c r="H37" s="373">
        <v>268.14026457703199</v>
      </c>
    </row>
    <row r="38" spans="1:10">
      <c r="A38" s="369">
        <v>17</v>
      </c>
      <c r="B38" s="370">
        <f t="shared" si="4"/>
        <v>75</v>
      </c>
      <c r="C38" s="369">
        <f t="shared" si="5"/>
        <v>75</v>
      </c>
      <c r="D38" s="113">
        <f t="shared" si="6"/>
        <v>75</v>
      </c>
      <c r="E38" s="370">
        <v>0</v>
      </c>
      <c r="F38" s="371">
        <v>69.401009655231803</v>
      </c>
      <c r="G38" s="372">
        <v>50.473461567441312</v>
      </c>
      <c r="H38" s="373">
        <v>119.87447122267312</v>
      </c>
    </row>
    <row r="39" spans="1:10">
      <c r="A39" s="374">
        <v>18</v>
      </c>
      <c r="B39" s="375">
        <f t="shared" si="4"/>
        <v>90</v>
      </c>
      <c r="C39" s="369">
        <f t="shared" si="5"/>
        <v>90</v>
      </c>
      <c r="D39" s="113">
        <f t="shared" si="6"/>
        <v>90</v>
      </c>
      <c r="E39" s="370">
        <v>0</v>
      </c>
      <c r="F39" s="369"/>
      <c r="H39" s="370"/>
    </row>
    <row r="40" spans="1:10">
      <c r="A40" s="552"/>
      <c r="B40" s="552"/>
      <c r="C40" s="376"/>
      <c r="D40" s="553" t="s">
        <v>255</v>
      </c>
      <c r="E40" s="554"/>
      <c r="F40" s="377">
        <f>SUM(F28:F39)/1000</f>
        <v>3.2334561316642092</v>
      </c>
      <c r="G40" s="378">
        <f t="shared" ref="G40:H40" si="7">SUM(G28:G39)/1000</f>
        <v>1.4984308902834138</v>
      </c>
      <c r="H40" s="379">
        <f t="shared" si="7"/>
        <v>4.7318870219476237</v>
      </c>
    </row>
    <row r="42" spans="1:10" ht="18.75">
      <c r="A42" s="555" t="s">
        <v>0</v>
      </c>
      <c r="B42" s="556"/>
      <c r="C42" s="556"/>
      <c r="D42" s="556"/>
      <c r="E42" s="556"/>
      <c r="F42" s="556"/>
      <c r="G42" s="556"/>
      <c r="H42" s="557"/>
      <c r="I42" s="380"/>
      <c r="J42" s="380"/>
    </row>
    <row r="43" spans="1:10">
      <c r="A43" s="561" t="s">
        <v>1</v>
      </c>
      <c r="B43" s="564" t="s">
        <v>257</v>
      </c>
      <c r="C43" s="567" t="s">
        <v>7</v>
      </c>
      <c r="D43" s="568"/>
      <c r="E43" s="569"/>
      <c r="F43" s="567" t="s">
        <v>4</v>
      </c>
      <c r="G43" s="568"/>
      <c r="H43" s="569"/>
      <c r="I43" s="380"/>
      <c r="J43" s="380"/>
    </row>
    <row r="44" spans="1:10" ht="35.1" customHeight="1">
      <c r="A44" s="562"/>
      <c r="B44" s="565"/>
      <c r="C44" s="570" t="s">
        <v>69</v>
      </c>
      <c r="D44" s="571" t="s">
        <v>50</v>
      </c>
      <c r="E44" s="572" t="s">
        <v>249</v>
      </c>
      <c r="F44" s="570" t="s">
        <v>250</v>
      </c>
      <c r="G44" s="571" t="s">
        <v>251</v>
      </c>
      <c r="H44" s="572" t="s">
        <v>252</v>
      </c>
      <c r="I44" s="380"/>
      <c r="J44" s="380"/>
    </row>
    <row r="45" spans="1:10">
      <c r="A45" s="563"/>
      <c r="B45" s="566"/>
      <c r="C45" s="543"/>
      <c r="D45" s="545"/>
      <c r="E45" s="547"/>
      <c r="F45" s="543"/>
      <c r="G45" s="545"/>
      <c r="H45" s="547"/>
    </row>
    <row r="46" spans="1:10" ht="17.25">
      <c r="A46" s="355" t="s">
        <v>63</v>
      </c>
      <c r="B46" s="356" t="s">
        <v>5</v>
      </c>
      <c r="C46" s="355" t="s">
        <v>5</v>
      </c>
      <c r="D46" s="357" t="s">
        <v>5</v>
      </c>
      <c r="E46" s="356" t="s">
        <v>5</v>
      </c>
      <c r="F46" s="358" t="s">
        <v>253</v>
      </c>
      <c r="G46" s="359" t="s">
        <v>253</v>
      </c>
      <c r="H46" s="360" t="s">
        <v>253</v>
      </c>
    </row>
    <row r="47" spans="1:10">
      <c r="A47" s="361">
        <v>6</v>
      </c>
      <c r="B47" s="362">
        <f>(180/12)*ABS(12-A47)</f>
        <v>90</v>
      </c>
      <c r="C47" s="363">
        <f>B47</f>
        <v>90</v>
      </c>
      <c r="D47" s="364">
        <f>B47</f>
        <v>90</v>
      </c>
      <c r="E47" s="365">
        <v>0</v>
      </c>
      <c r="F47" s="366"/>
      <c r="G47" s="367"/>
      <c r="H47" s="368"/>
    </row>
    <row r="48" spans="1:10">
      <c r="A48" s="369">
        <v>7</v>
      </c>
      <c r="B48" s="370">
        <f t="shared" ref="B48:B59" si="8">(180/12)*ABS(12-A48)</f>
        <v>75</v>
      </c>
      <c r="C48" s="369">
        <f t="shared" ref="C48:C59" si="9">B48</f>
        <v>75</v>
      </c>
      <c r="D48" s="113">
        <f t="shared" ref="D48:D59" si="10">B48</f>
        <v>75</v>
      </c>
      <c r="E48" s="370">
        <v>0</v>
      </c>
      <c r="F48" s="371">
        <v>28.391322131685737</v>
      </c>
      <c r="G48" s="372">
        <v>50.473461567441312</v>
      </c>
      <c r="H48" s="373">
        <v>78.864783699127045</v>
      </c>
    </row>
    <row r="49" spans="1:13">
      <c r="A49" s="369">
        <v>8</v>
      </c>
      <c r="B49" s="370">
        <f t="shared" si="8"/>
        <v>60</v>
      </c>
      <c r="C49" s="369">
        <f t="shared" si="9"/>
        <v>60</v>
      </c>
      <c r="D49" s="113">
        <f t="shared" si="10"/>
        <v>60</v>
      </c>
      <c r="E49" s="370">
        <v>0</v>
      </c>
      <c r="F49" s="371">
        <v>78.864783699127045</v>
      </c>
      <c r="G49" s="372">
        <v>97.792331786917558</v>
      </c>
      <c r="H49" s="373">
        <v>176.6571154860446</v>
      </c>
    </row>
    <row r="50" spans="1:13">
      <c r="A50" s="369">
        <v>9</v>
      </c>
      <c r="B50" s="370">
        <f t="shared" si="8"/>
        <v>45</v>
      </c>
      <c r="C50" s="369">
        <f t="shared" si="9"/>
        <v>45</v>
      </c>
      <c r="D50" s="113">
        <f t="shared" si="10"/>
        <v>45</v>
      </c>
      <c r="E50" s="370">
        <v>0</v>
      </c>
      <c r="F50" s="371">
        <v>141.9566106584287</v>
      </c>
      <c r="G50" s="372">
        <v>138.80201931046361</v>
      </c>
      <c r="H50" s="373">
        <v>280.75862996889231</v>
      </c>
    </row>
    <row r="51" spans="1:13">
      <c r="A51" s="369">
        <v>10</v>
      </c>
      <c r="B51" s="370">
        <f t="shared" si="8"/>
        <v>30</v>
      </c>
      <c r="C51" s="369">
        <f t="shared" si="9"/>
        <v>30</v>
      </c>
      <c r="D51" s="113">
        <f t="shared" si="10"/>
        <v>30</v>
      </c>
      <c r="E51" s="370">
        <v>0</v>
      </c>
      <c r="F51" s="371">
        <v>201.89384626976525</v>
      </c>
      <c r="G51" s="372">
        <v>170.34793279011444</v>
      </c>
      <c r="H51" s="373">
        <v>372.24177905987972</v>
      </c>
    </row>
    <row r="52" spans="1:13">
      <c r="A52" s="369">
        <v>11</v>
      </c>
      <c r="B52" s="370">
        <f t="shared" si="8"/>
        <v>15</v>
      </c>
      <c r="C52" s="369">
        <f t="shared" si="9"/>
        <v>15</v>
      </c>
      <c r="D52" s="113">
        <f t="shared" si="10"/>
        <v>15</v>
      </c>
      <c r="E52" s="370">
        <v>0</v>
      </c>
      <c r="F52" s="371">
        <v>249.2127164892415</v>
      </c>
      <c r="G52" s="372">
        <v>189.27548087790493</v>
      </c>
      <c r="H52" s="373">
        <v>438.48819736714643</v>
      </c>
    </row>
    <row r="53" spans="1:13">
      <c r="A53" s="369">
        <v>12</v>
      </c>
      <c r="B53" s="370">
        <f t="shared" si="8"/>
        <v>0</v>
      </c>
      <c r="C53" s="369">
        <f t="shared" si="9"/>
        <v>0</v>
      </c>
      <c r="D53" s="113">
        <f t="shared" si="10"/>
        <v>0</v>
      </c>
      <c r="E53" s="370">
        <v>0</v>
      </c>
      <c r="F53" s="371">
        <v>264.98567322906689</v>
      </c>
      <c r="G53" s="372">
        <v>195.58466357383512</v>
      </c>
      <c r="H53" s="373">
        <v>460.57033680290198</v>
      </c>
    </row>
    <row r="54" spans="1:13">
      <c r="A54" s="369">
        <v>13</v>
      </c>
      <c r="B54" s="370">
        <f t="shared" si="8"/>
        <v>15</v>
      </c>
      <c r="C54" s="369">
        <f t="shared" si="9"/>
        <v>15</v>
      </c>
      <c r="D54" s="113">
        <f t="shared" si="10"/>
        <v>15</v>
      </c>
      <c r="E54" s="370">
        <v>0</v>
      </c>
      <c r="F54" s="371">
        <v>249.2127164892415</v>
      </c>
      <c r="G54" s="372">
        <v>189.27548087790493</v>
      </c>
      <c r="H54" s="373">
        <v>438.48819736714643</v>
      </c>
    </row>
    <row r="55" spans="1:13">
      <c r="A55" s="369">
        <v>14</v>
      </c>
      <c r="B55" s="370">
        <f t="shared" si="8"/>
        <v>30</v>
      </c>
      <c r="C55" s="369">
        <f t="shared" si="9"/>
        <v>30</v>
      </c>
      <c r="D55" s="113">
        <f t="shared" si="10"/>
        <v>30</v>
      </c>
      <c r="E55" s="370">
        <v>0</v>
      </c>
      <c r="F55" s="371">
        <v>201.89384626976525</v>
      </c>
      <c r="G55" s="372">
        <v>170.34793279011444</v>
      </c>
      <c r="H55" s="373">
        <v>372.24177905987972</v>
      </c>
    </row>
    <row r="56" spans="1:13">
      <c r="A56" s="369">
        <v>15</v>
      </c>
      <c r="B56" s="370">
        <f t="shared" si="8"/>
        <v>45</v>
      </c>
      <c r="C56" s="369">
        <f t="shared" si="9"/>
        <v>45</v>
      </c>
      <c r="D56" s="113">
        <f t="shared" si="10"/>
        <v>45</v>
      </c>
      <c r="E56" s="370">
        <v>0</v>
      </c>
      <c r="F56" s="371">
        <v>141.9566106584287</v>
      </c>
      <c r="G56" s="372">
        <v>138.80201931046361</v>
      </c>
      <c r="H56" s="373">
        <v>280.75862996889231</v>
      </c>
    </row>
    <row r="57" spans="1:13">
      <c r="A57" s="369">
        <v>16</v>
      </c>
      <c r="B57" s="370">
        <f t="shared" si="8"/>
        <v>60</v>
      </c>
      <c r="C57" s="369">
        <f t="shared" si="9"/>
        <v>60</v>
      </c>
      <c r="D57" s="113">
        <f t="shared" si="10"/>
        <v>60</v>
      </c>
      <c r="E57" s="370">
        <v>0</v>
      </c>
      <c r="F57" s="371">
        <v>78.864783699127045</v>
      </c>
      <c r="G57" s="372">
        <v>97.792331786917558</v>
      </c>
      <c r="H57" s="373">
        <v>176.6571154860446</v>
      </c>
    </row>
    <row r="58" spans="1:13">
      <c r="A58" s="369">
        <v>17</v>
      </c>
      <c r="B58" s="370">
        <f t="shared" si="8"/>
        <v>75</v>
      </c>
      <c r="C58" s="369">
        <f t="shared" si="9"/>
        <v>75</v>
      </c>
      <c r="D58" s="113">
        <f t="shared" si="10"/>
        <v>75</v>
      </c>
      <c r="E58" s="370">
        <v>0</v>
      </c>
      <c r="F58" s="371">
        <v>28.391322131685737</v>
      </c>
      <c r="G58" s="372">
        <v>50.473461567441312</v>
      </c>
      <c r="H58" s="373">
        <v>78.864783699127045</v>
      </c>
    </row>
    <row r="59" spans="1:13">
      <c r="A59" s="374">
        <v>18</v>
      </c>
      <c r="B59" s="375">
        <f t="shared" si="8"/>
        <v>90</v>
      </c>
      <c r="C59" s="369">
        <f t="shared" si="9"/>
        <v>90</v>
      </c>
      <c r="D59" s="113">
        <f t="shared" si="10"/>
        <v>90</v>
      </c>
      <c r="E59" s="370">
        <v>0</v>
      </c>
      <c r="F59" s="369"/>
      <c r="H59" s="370"/>
    </row>
    <row r="60" spans="1:13" ht="17.25">
      <c r="A60" s="552"/>
      <c r="B60" s="552"/>
      <c r="C60" s="376"/>
      <c r="D60" s="553" t="s">
        <v>254</v>
      </c>
      <c r="E60" s="554"/>
      <c r="F60" s="377">
        <f>SUM(F48:F59)/1000</f>
        <v>1.665624231725563</v>
      </c>
      <c r="G60" s="378">
        <f t="shared" ref="G60:H60" si="11">SUM(G48:G59)/1000</f>
        <v>1.4889671162395186</v>
      </c>
      <c r="H60" s="379">
        <f t="shared" si="11"/>
        <v>3.154591347965082</v>
      </c>
      <c r="I60" s="381"/>
      <c r="J60" s="381"/>
      <c r="K60" s="381"/>
    </row>
    <row r="62" spans="1:13" ht="18.75">
      <c r="A62" s="555" t="s">
        <v>62</v>
      </c>
      <c r="B62" s="556"/>
      <c r="C62" s="556"/>
      <c r="D62" s="556"/>
      <c r="E62" s="556"/>
      <c r="F62" s="556"/>
      <c r="G62" s="556"/>
      <c r="H62" s="556"/>
      <c r="I62" s="556"/>
      <c r="J62" s="557"/>
      <c r="K62" s="354"/>
      <c r="L62" s="354"/>
      <c r="M62" s="354"/>
    </row>
    <row r="63" spans="1:13">
      <c r="A63" s="382"/>
      <c r="B63" s="558" t="s">
        <v>64</v>
      </c>
      <c r="C63" s="558"/>
      <c r="D63" s="559"/>
      <c r="E63" s="560" t="s">
        <v>65</v>
      </c>
      <c r="F63" s="558"/>
      <c r="G63" s="559"/>
      <c r="H63" s="560" t="s">
        <v>66</v>
      </c>
      <c r="I63" s="558"/>
      <c r="J63" s="559"/>
    </row>
    <row r="64" spans="1:13">
      <c r="A64" s="383" t="s">
        <v>1</v>
      </c>
      <c r="B64" s="542" t="s">
        <v>250</v>
      </c>
      <c r="C64" s="544" t="s">
        <v>251</v>
      </c>
      <c r="D64" s="548" t="s">
        <v>252</v>
      </c>
      <c r="E64" s="550" t="s">
        <v>250</v>
      </c>
      <c r="F64" s="544" t="s">
        <v>251</v>
      </c>
      <c r="G64" s="546" t="s">
        <v>252</v>
      </c>
      <c r="H64" s="542" t="s">
        <v>250</v>
      </c>
      <c r="I64" s="544" t="s">
        <v>251</v>
      </c>
      <c r="J64" s="546" t="s">
        <v>252</v>
      </c>
    </row>
    <row r="65" spans="1:10">
      <c r="A65" s="384"/>
      <c r="B65" s="543"/>
      <c r="C65" s="545"/>
      <c r="D65" s="549"/>
      <c r="E65" s="551"/>
      <c r="F65" s="545"/>
      <c r="G65" s="547"/>
      <c r="H65" s="543"/>
      <c r="I65" s="545"/>
      <c r="J65" s="547"/>
    </row>
    <row r="66" spans="1:10" ht="17.25">
      <c r="A66" s="385" t="s">
        <v>63</v>
      </c>
      <c r="B66" s="358" t="s">
        <v>253</v>
      </c>
      <c r="C66" s="386" t="s">
        <v>253</v>
      </c>
      <c r="D66" s="360" t="s">
        <v>253</v>
      </c>
      <c r="E66" s="387" t="s">
        <v>253</v>
      </c>
      <c r="F66" s="386" t="s">
        <v>253</v>
      </c>
      <c r="G66" s="360" t="s">
        <v>253</v>
      </c>
      <c r="H66" s="358" t="s">
        <v>253</v>
      </c>
      <c r="I66" s="386" t="s">
        <v>253</v>
      </c>
      <c r="J66" s="360" t="s">
        <v>253</v>
      </c>
    </row>
    <row r="67" spans="1:10">
      <c r="A67" s="369">
        <v>7</v>
      </c>
      <c r="B67" s="371">
        <f>F8</f>
        <v>116.71987987470804</v>
      </c>
      <c r="C67" s="372">
        <f>G8</f>
        <v>47.318870219476231</v>
      </c>
      <c r="D67" s="373">
        <f>H8</f>
        <v>164.03875009418428</v>
      </c>
      <c r="E67" s="372">
        <f t="shared" ref="E67:G77" si="12">F28</f>
        <v>69.401009655231803</v>
      </c>
      <c r="F67" s="372">
        <f t="shared" si="12"/>
        <v>50.473461567441312</v>
      </c>
      <c r="G67" s="373">
        <f t="shared" si="12"/>
        <v>119.87447122267312</v>
      </c>
      <c r="H67" s="371">
        <f t="shared" ref="H67:H77" si="13">F48</f>
        <v>28.391322131685737</v>
      </c>
      <c r="I67" s="372">
        <f t="shared" ref="I67:I77" si="14">G48</f>
        <v>50.473461567441312</v>
      </c>
      <c r="J67" s="373">
        <f t="shared" ref="J67:J77" si="15">H48</f>
        <v>78.864783699127045</v>
      </c>
    </row>
    <row r="68" spans="1:10">
      <c r="A68" s="369">
        <v>8</v>
      </c>
      <c r="B68" s="371">
        <f t="shared" ref="B68:B77" si="16">F9</f>
        <v>268.14026457703199</v>
      </c>
      <c r="C68" s="372">
        <f t="shared" ref="C68:C77" si="17">G9</f>
        <v>91.483149090987382</v>
      </c>
      <c r="D68" s="373">
        <f t="shared" ref="D68:D77" si="18">H9</f>
        <v>359.62341366801934</v>
      </c>
      <c r="E68" s="372">
        <f t="shared" si="12"/>
        <v>170.34793279011444</v>
      </c>
      <c r="F68" s="372">
        <f t="shared" si="12"/>
        <v>97.792331786917558</v>
      </c>
      <c r="G68" s="373">
        <f t="shared" si="12"/>
        <v>268.14026457703199</v>
      </c>
      <c r="H68" s="371">
        <f t="shared" si="13"/>
        <v>78.864783699127045</v>
      </c>
      <c r="I68" s="372">
        <f t="shared" si="14"/>
        <v>97.792331786917558</v>
      </c>
      <c r="J68" s="373">
        <f t="shared" si="15"/>
        <v>176.6571154860446</v>
      </c>
    </row>
    <row r="69" spans="1:10">
      <c r="A69" s="369">
        <v>9</v>
      </c>
      <c r="B69" s="371">
        <f t="shared" si="16"/>
        <v>435.33360601918133</v>
      </c>
      <c r="C69" s="372">
        <f t="shared" si="17"/>
        <v>126.1836539186033</v>
      </c>
      <c r="D69" s="373">
        <f t="shared" si="18"/>
        <v>561.51725993778462</v>
      </c>
      <c r="E69" s="372">
        <f t="shared" si="12"/>
        <v>283.9132213168574</v>
      </c>
      <c r="F69" s="372">
        <f t="shared" si="12"/>
        <v>138.80201931046361</v>
      </c>
      <c r="G69" s="373">
        <f t="shared" si="12"/>
        <v>422.71524062732101</v>
      </c>
      <c r="H69" s="371">
        <f t="shared" si="13"/>
        <v>141.9566106584287</v>
      </c>
      <c r="I69" s="372">
        <f t="shared" si="14"/>
        <v>138.80201931046361</v>
      </c>
      <c r="J69" s="373">
        <f t="shared" si="15"/>
        <v>280.75862996889231</v>
      </c>
    </row>
    <row r="70" spans="1:10">
      <c r="A70" s="369">
        <v>10</v>
      </c>
      <c r="B70" s="371">
        <f t="shared" si="16"/>
        <v>589.90858206947041</v>
      </c>
      <c r="C70" s="372">
        <f t="shared" si="17"/>
        <v>157.72956739825409</v>
      </c>
      <c r="D70" s="373">
        <f t="shared" si="18"/>
        <v>747.63814946772447</v>
      </c>
      <c r="E70" s="372">
        <f t="shared" si="12"/>
        <v>388.01473579970508</v>
      </c>
      <c r="F70" s="372">
        <f t="shared" si="12"/>
        <v>170.34793279011444</v>
      </c>
      <c r="G70" s="373">
        <f t="shared" si="12"/>
        <v>558.36266858981946</v>
      </c>
      <c r="H70" s="371">
        <f t="shared" si="13"/>
        <v>201.89384626976525</v>
      </c>
      <c r="I70" s="372">
        <f t="shared" si="14"/>
        <v>170.34793279011444</v>
      </c>
      <c r="J70" s="373">
        <f t="shared" si="15"/>
        <v>372.24177905987972</v>
      </c>
    </row>
    <row r="71" spans="1:10">
      <c r="A71" s="369">
        <v>11</v>
      </c>
      <c r="B71" s="371">
        <f t="shared" si="16"/>
        <v>694.01009655231803</v>
      </c>
      <c r="C71" s="372">
        <f t="shared" si="17"/>
        <v>173.50252413807951</v>
      </c>
      <c r="D71" s="373">
        <f t="shared" si="18"/>
        <v>867.51262069039751</v>
      </c>
      <c r="E71" s="372">
        <f t="shared" si="12"/>
        <v>460.57033680290198</v>
      </c>
      <c r="F71" s="372">
        <f t="shared" si="12"/>
        <v>192.43007222587002</v>
      </c>
      <c r="G71" s="373">
        <f t="shared" si="12"/>
        <v>653.00040902877208</v>
      </c>
      <c r="H71" s="371">
        <f t="shared" si="13"/>
        <v>249.2127164892415</v>
      </c>
      <c r="I71" s="372">
        <f t="shared" si="14"/>
        <v>189.27548087790493</v>
      </c>
      <c r="J71" s="373">
        <f t="shared" si="15"/>
        <v>438.48819736714643</v>
      </c>
    </row>
    <row r="72" spans="1:10">
      <c r="A72" s="369">
        <v>12</v>
      </c>
      <c r="B72" s="371">
        <f t="shared" si="16"/>
        <v>728.71060137993402</v>
      </c>
      <c r="C72" s="372">
        <f t="shared" si="17"/>
        <v>179.81170683400967</v>
      </c>
      <c r="D72" s="373">
        <f t="shared" si="18"/>
        <v>908.52230821394357</v>
      </c>
      <c r="E72" s="372">
        <f t="shared" si="12"/>
        <v>488.96165893458772</v>
      </c>
      <c r="F72" s="372">
        <f t="shared" si="12"/>
        <v>198.73925492180015</v>
      </c>
      <c r="G72" s="373">
        <f t="shared" si="12"/>
        <v>687.70091385638784</v>
      </c>
      <c r="H72" s="371">
        <f t="shared" si="13"/>
        <v>264.98567322906689</v>
      </c>
      <c r="I72" s="372">
        <f t="shared" si="14"/>
        <v>195.58466357383512</v>
      </c>
      <c r="J72" s="373">
        <f t="shared" si="15"/>
        <v>460.57033680290198</v>
      </c>
    </row>
    <row r="73" spans="1:10">
      <c r="A73" s="369">
        <v>13</v>
      </c>
      <c r="B73" s="371">
        <f t="shared" si="16"/>
        <v>694.01009655231803</v>
      </c>
      <c r="C73" s="372">
        <f t="shared" si="17"/>
        <v>173.50252413807951</v>
      </c>
      <c r="D73" s="373">
        <f t="shared" si="18"/>
        <v>867.51262069039751</v>
      </c>
      <c r="E73" s="372">
        <f t="shared" si="12"/>
        <v>460.57033680290198</v>
      </c>
      <c r="F73" s="372">
        <f t="shared" si="12"/>
        <v>192.43007222587002</v>
      </c>
      <c r="G73" s="373">
        <f t="shared" si="12"/>
        <v>653.00040902877208</v>
      </c>
      <c r="H73" s="371">
        <f t="shared" si="13"/>
        <v>249.2127164892415</v>
      </c>
      <c r="I73" s="372">
        <f t="shared" si="14"/>
        <v>189.27548087790493</v>
      </c>
      <c r="J73" s="373">
        <f t="shared" si="15"/>
        <v>438.48819736714643</v>
      </c>
    </row>
    <row r="74" spans="1:10">
      <c r="A74" s="369">
        <v>14</v>
      </c>
      <c r="B74" s="371">
        <f t="shared" si="16"/>
        <v>589.90858206947041</v>
      </c>
      <c r="C74" s="372">
        <f t="shared" si="17"/>
        <v>157.72956739825409</v>
      </c>
      <c r="D74" s="373">
        <f t="shared" si="18"/>
        <v>747.63814946772447</v>
      </c>
      <c r="E74" s="372">
        <f t="shared" si="12"/>
        <v>388.01473579970508</v>
      </c>
      <c r="F74" s="372">
        <f t="shared" si="12"/>
        <v>170.34793279011444</v>
      </c>
      <c r="G74" s="373">
        <f t="shared" si="12"/>
        <v>558.36266858981946</v>
      </c>
      <c r="H74" s="371">
        <f t="shared" si="13"/>
        <v>201.89384626976525</v>
      </c>
      <c r="I74" s="372">
        <f t="shared" si="14"/>
        <v>170.34793279011444</v>
      </c>
      <c r="J74" s="373">
        <f t="shared" si="15"/>
        <v>372.24177905987972</v>
      </c>
    </row>
    <row r="75" spans="1:10">
      <c r="A75" s="369">
        <v>15</v>
      </c>
      <c r="B75" s="371">
        <f t="shared" si="16"/>
        <v>435.33360601918133</v>
      </c>
      <c r="C75" s="372">
        <f t="shared" si="17"/>
        <v>126.1836539186033</v>
      </c>
      <c r="D75" s="373">
        <f t="shared" si="18"/>
        <v>561.51725993778462</v>
      </c>
      <c r="E75" s="372">
        <f t="shared" si="12"/>
        <v>283.9132213168574</v>
      </c>
      <c r="F75" s="372">
        <f t="shared" si="12"/>
        <v>138.80201931046361</v>
      </c>
      <c r="G75" s="373">
        <f t="shared" si="12"/>
        <v>422.71524062732101</v>
      </c>
      <c r="H75" s="371">
        <f t="shared" si="13"/>
        <v>141.9566106584287</v>
      </c>
      <c r="I75" s="372">
        <f t="shared" si="14"/>
        <v>138.80201931046361</v>
      </c>
      <c r="J75" s="373">
        <f t="shared" si="15"/>
        <v>280.75862996889231</v>
      </c>
    </row>
    <row r="76" spans="1:10">
      <c r="A76" s="369">
        <v>16</v>
      </c>
      <c r="B76" s="371">
        <f t="shared" si="16"/>
        <v>268.14026457703199</v>
      </c>
      <c r="C76" s="372">
        <f t="shared" si="17"/>
        <v>91.483149090987382</v>
      </c>
      <c r="D76" s="373">
        <f t="shared" si="18"/>
        <v>359.62341366801934</v>
      </c>
      <c r="E76" s="372">
        <f t="shared" si="12"/>
        <v>170.34793279011444</v>
      </c>
      <c r="F76" s="372">
        <f t="shared" si="12"/>
        <v>97.792331786917558</v>
      </c>
      <c r="G76" s="373">
        <f t="shared" si="12"/>
        <v>268.14026457703199</v>
      </c>
      <c r="H76" s="371">
        <f t="shared" si="13"/>
        <v>78.864783699127045</v>
      </c>
      <c r="I76" s="372">
        <f t="shared" si="14"/>
        <v>97.792331786917558</v>
      </c>
      <c r="J76" s="373">
        <f t="shared" si="15"/>
        <v>176.6571154860446</v>
      </c>
    </row>
    <row r="77" spans="1:10">
      <c r="A77" s="369">
        <v>17</v>
      </c>
      <c r="B77" s="371">
        <f t="shared" si="16"/>
        <v>116.71987987470804</v>
      </c>
      <c r="C77" s="372">
        <f t="shared" si="17"/>
        <v>47.318870219476231</v>
      </c>
      <c r="D77" s="373">
        <f t="shared" si="18"/>
        <v>164.03875009418428</v>
      </c>
      <c r="E77" s="372">
        <f t="shared" si="12"/>
        <v>69.401009655231803</v>
      </c>
      <c r="F77" s="372">
        <f t="shared" si="12"/>
        <v>50.473461567441312</v>
      </c>
      <c r="G77" s="373">
        <f t="shared" si="12"/>
        <v>119.87447122267312</v>
      </c>
      <c r="H77" s="371">
        <f t="shared" si="13"/>
        <v>28.391322131685737</v>
      </c>
      <c r="I77" s="372">
        <f t="shared" si="14"/>
        <v>50.473461567441312</v>
      </c>
      <c r="J77" s="373">
        <f t="shared" si="15"/>
        <v>78.864783699127045</v>
      </c>
    </row>
    <row r="78" spans="1:10" ht="17.25">
      <c r="A78" s="388" t="s">
        <v>256</v>
      </c>
      <c r="B78" s="377">
        <f t="shared" ref="B78:J78" si="19">SUM(B67:B77)/1000</f>
        <v>4.936935459565353</v>
      </c>
      <c r="C78" s="378">
        <f t="shared" si="19"/>
        <v>1.3722472363648106</v>
      </c>
      <c r="D78" s="389">
        <f t="shared" si="19"/>
        <v>6.309182695930164</v>
      </c>
      <c r="E78" s="377">
        <f t="shared" si="19"/>
        <v>3.2334561316642092</v>
      </c>
      <c r="F78" s="378">
        <f t="shared" si="19"/>
        <v>1.4984308902834138</v>
      </c>
      <c r="G78" s="389">
        <f t="shared" si="19"/>
        <v>4.7318870219476237</v>
      </c>
      <c r="H78" s="377">
        <f t="shared" si="19"/>
        <v>1.665624231725563</v>
      </c>
      <c r="I78" s="378">
        <f t="shared" si="19"/>
        <v>1.4889671162395186</v>
      </c>
      <c r="J78" s="379">
        <f t="shared" si="19"/>
        <v>3.154591347965082</v>
      </c>
    </row>
    <row r="80" spans="1:10">
      <c r="A80" s="390" t="s">
        <v>61</v>
      </c>
      <c r="B80" s="391"/>
    </row>
    <row r="81" spans="1:2">
      <c r="A81" s="392" t="s">
        <v>68</v>
      </c>
      <c r="B81" s="393">
        <v>0.29307100000000003</v>
      </c>
    </row>
    <row r="82" spans="1:2" ht="17.25">
      <c r="A82" s="392" t="s">
        <v>202</v>
      </c>
      <c r="B82" s="393">
        <v>9.2902999999999999E-2</v>
      </c>
    </row>
  </sheetData>
  <mergeCells count="53">
    <mergeCell ref="A1:H1"/>
    <mergeCell ref="A2:H2"/>
    <mergeCell ref="A3:A5"/>
    <mergeCell ref="B3:B5"/>
    <mergeCell ref="C3:E3"/>
    <mergeCell ref="F3:H3"/>
    <mergeCell ref="C4:C5"/>
    <mergeCell ref="D4:D5"/>
    <mergeCell ref="E4:E5"/>
    <mergeCell ref="F4:F5"/>
    <mergeCell ref="G4:G5"/>
    <mergeCell ref="H4:H5"/>
    <mergeCell ref="A20:B20"/>
    <mergeCell ref="D20:E20"/>
    <mergeCell ref="A22:H22"/>
    <mergeCell ref="A23:A25"/>
    <mergeCell ref="B23:B25"/>
    <mergeCell ref="C23:E23"/>
    <mergeCell ref="F23:H23"/>
    <mergeCell ref="C24:C25"/>
    <mergeCell ref="D24:D25"/>
    <mergeCell ref="E24:E25"/>
    <mergeCell ref="F24:F25"/>
    <mergeCell ref="G24:G25"/>
    <mergeCell ref="H24:H25"/>
    <mergeCell ref="A40:B40"/>
    <mergeCell ref="D40:E40"/>
    <mergeCell ref="A42:H42"/>
    <mergeCell ref="A43:A45"/>
    <mergeCell ref="B43:B45"/>
    <mergeCell ref="C43:E43"/>
    <mergeCell ref="F43:H43"/>
    <mergeCell ref="C44:C45"/>
    <mergeCell ref="D44:D45"/>
    <mergeCell ref="E44:E45"/>
    <mergeCell ref="F44:F45"/>
    <mergeCell ref="G44:G45"/>
    <mergeCell ref="H44:H45"/>
    <mergeCell ref="A60:B60"/>
    <mergeCell ref="D60:E60"/>
    <mergeCell ref="A62:J62"/>
    <mergeCell ref="B63:D63"/>
    <mergeCell ref="E63:G63"/>
    <mergeCell ref="H63:J63"/>
    <mergeCell ref="H64:H65"/>
    <mergeCell ref="I64:I65"/>
    <mergeCell ref="J64:J65"/>
    <mergeCell ref="B64:B65"/>
    <mergeCell ref="C64:C65"/>
    <mergeCell ref="D64:D65"/>
    <mergeCell ref="E64:E65"/>
    <mergeCell ref="F64:F65"/>
    <mergeCell ref="G64:G6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P26"/>
  <sheetViews>
    <sheetView zoomScaleNormal="100" workbookViewId="0">
      <selection activeCell="A32" sqref="A32"/>
    </sheetView>
  </sheetViews>
  <sheetFormatPr defaultRowHeight="15"/>
  <cols>
    <col min="1" max="1" width="39.85546875" style="4" customWidth="1"/>
    <col min="2" max="11" width="10.7109375" style="4" customWidth="1"/>
    <col min="12" max="14" width="14.140625" style="4" customWidth="1"/>
    <col min="15" max="16384" width="9.140625" style="4"/>
  </cols>
  <sheetData>
    <row r="1" spans="1:16">
      <c r="A1" s="11" t="s">
        <v>71</v>
      </c>
      <c r="B1" s="573" t="s">
        <v>20</v>
      </c>
      <c r="C1" s="573"/>
      <c r="D1" s="573"/>
      <c r="E1" s="573"/>
      <c r="F1" s="573" t="s">
        <v>282</v>
      </c>
      <c r="G1" s="573"/>
      <c r="H1" s="573"/>
      <c r="I1" s="573"/>
      <c r="J1" s="10"/>
      <c r="K1" s="10"/>
      <c r="L1" s="8"/>
      <c r="M1" s="9"/>
      <c r="N1" s="9"/>
      <c r="O1" s="9"/>
      <c r="P1" s="9"/>
    </row>
    <row r="2" spans="1:16" ht="18">
      <c r="A2" s="13" t="s">
        <v>70</v>
      </c>
      <c r="B2" s="7">
        <v>0</v>
      </c>
      <c r="C2" s="7">
        <v>10</v>
      </c>
      <c r="D2" s="7">
        <v>20</v>
      </c>
      <c r="E2" s="7">
        <v>30</v>
      </c>
      <c r="F2" s="3">
        <v>40</v>
      </c>
      <c r="G2" s="3">
        <v>50</v>
      </c>
      <c r="H2" s="3">
        <v>60</v>
      </c>
      <c r="I2" s="3">
        <v>70</v>
      </c>
      <c r="J2" s="444"/>
    </row>
    <row r="3" spans="1:16" ht="18">
      <c r="A3" s="18" t="s">
        <v>72</v>
      </c>
      <c r="B3" s="12">
        <f>'Input Data'!C70</f>
        <v>1</v>
      </c>
      <c r="C3" s="12">
        <f>'Input Data'!D70</f>
        <v>0</v>
      </c>
      <c r="D3" s="12">
        <f>'Input Data'!E70</f>
        <v>0</v>
      </c>
      <c r="E3" s="12">
        <f>'Input Data'!F70</f>
        <v>0</v>
      </c>
      <c r="F3" s="12">
        <f>'Input Data'!G70</f>
        <v>0</v>
      </c>
      <c r="G3" s="12">
        <f>'Input Data'!H70</f>
        <v>0</v>
      </c>
      <c r="H3" s="12">
        <f>'Input Data'!I70</f>
        <v>0</v>
      </c>
      <c r="I3" s="12">
        <f>'Input Data'!J70</f>
        <v>0</v>
      </c>
      <c r="J3" s="445"/>
    </row>
    <row r="4" spans="1:16">
      <c r="B4" s="6"/>
      <c r="C4" s="6"/>
      <c r="D4" s="6"/>
      <c r="E4" s="6"/>
      <c r="F4" s="6"/>
      <c r="G4" s="6"/>
      <c r="H4" s="6"/>
      <c r="I4" s="6"/>
    </row>
    <row r="24" spans="1:13" ht="18">
      <c r="A24" s="2" t="s">
        <v>73</v>
      </c>
    </row>
    <row r="25" spans="1:13" ht="18">
      <c r="A25" s="13" t="s">
        <v>70</v>
      </c>
      <c r="B25" s="7">
        <v>0</v>
      </c>
      <c r="C25" s="7">
        <v>10</v>
      </c>
      <c r="D25" s="7">
        <v>15</v>
      </c>
      <c r="E25" s="7">
        <v>20</v>
      </c>
      <c r="F25" s="7">
        <v>30</v>
      </c>
      <c r="G25" s="7">
        <v>40</v>
      </c>
      <c r="H25" s="7">
        <v>45</v>
      </c>
      <c r="I25" s="7">
        <v>50</v>
      </c>
      <c r="J25" s="7">
        <v>60</v>
      </c>
      <c r="K25" s="7">
        <v>70</v>
      </c>
      <c r="L25" s="3">
        <v>75</v>
      </c>
      <c r="M25" s="3">
        <v>90</v>
      </c>
    </row>
    <row r="26" spans="1:13" ht="18">
      <c r="A26" s="13" t="s">
        <v>74</v>
      </c>
      <c r="B26" s="16">
        <v>1</v>
      </c>
      <c r="C26" s="16">
        <f>C3</f>
        <v>0</v>
      </c>
      <c r="D26" s="94">
        <f>((C26-E26)/(C25-E25))*(D25-C25)+C26</f>
        <v>0</v>
      </c>
      <c r="E26" s="16">
        <f>D3</f>
        <v>0</v>
      </c>
      <c r="F26" s="16">
        <f t="shared" ref="F26:G26" si="0">E3</f>
        <v>0</v>
      </c>
      <c r="G26" s="16">
        <f t="shared" si="0"/>
        <v>0</v>
      </c>
      <c r="H26" s="94">
        <f>((G26-I26)/(G25-I25))*(H25-G25)+G26</f>
        <v>0</v>
      </c>
      <c r="I26" s="16">
        <f>G3</f>
        <v>0</v>
      </c>
      <c r="J26" s="16">
        <f t="shared" ref="J26:K26" si="1">H3</f>
        <v>0</v>
      </c>
      <c r="K26" s="16">
        <f t="shared" si="1"/>
        <v>0</v>
      </c>
      <c r="L26" s="94">
        <f>((K26-M26)/(K25-M25))*(L25-K25)+K26</f>
        <v>0</v>
      </c>
      <c r="M26" s="14">
        <v>0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P13"/>
  <sheetViews>
    <sheetView zoomScaleNormal="100" workbookViewId="0">
      <selection activeCell="A38" sqref="A38"/>
    </sheetView>
  </sheetViews>
  <sheetFormatPr defaultRowHeight="15"/>
  <cols>
    <col min="1" max="1" width="41.42578125" style="56" customWidth="1"/>
    <col min="2" max="13" width="10.7109375" style="56" customWidth="1"/>
    <col min="14" max="14" width="20.85546875" style="56" customWidth="1"/>
    <col min="15" max="16384" width="9.140625" style="56"/>
  </cols>
  <sheetData>
    <row r="1" spans="1:16">
      <c r="A1" s="11" t="s">
        <v>71</v>
      </c>
      <c r="B1" s="573" t="s">
        <v>20</v>
      </c>
      <c r="C1" s="573"/>
      <c r="D1" s="573"/>
      <c r="E1" s="573"/>
      <c r="F1" s="573" t="s">
        <v>282</v>
      </c>
      <c r="G1" s="573"/>
      <c r="H1" s="573"/>
      <c r="I1" s="573"/>
      <c r="J1" s="10"/>
      <c r="K1" s="10"/>
      <c r="L1" s="8"/>
      <c r="M1" s="9"/>
      <c r="N1" s="9"/>
      <c r="O1" s="9"/>
      <c r="P1" s="9"/>
    </row>
    <row r="2" spans="1:16" ht="18">
      <c r="A2" s="13" t="s">
        <v>70</v>
      </c>
      <c r="B2" s="7">
        <v>0</v>
      </c>
      <c r="C2" s="7">
        <v>10</v>
      </c>
      <c r="D2" s="7">
        <v>20</v>
      </c>
      <c r="E2" s="7">
        <v>30</v>
      </c>
      <c r="F2" s="3">
        <v>40</v>
      </c>
      <c r="G2" s="3">
        <v>50</v>
      </c>
      <c r="H2" s="3">
        <v>60</v>
      </c>
      <c r="I2" s="3">
        <v>70</v>
      </c>
      <c r="J2" s="444"/>
    </row>
    <row r="3" spans="1:16" ht="18">
      <c r="A3" s="18" t="s">
        <v>72</v>
      </c>
      <c r="B3" s="12">
        <f>'Input Data'!C70</f>
        <v>1</v>
      </c>
      <c r="C3" s="12">
        <f>'Input Data'!D70</f>
        <v>0</v>
      </c>
      <c r="D3" s="12">
        <f>'Input Data'!E70</f>
        <v>0</v>
      </c>
      <c r="E3" s="12">
        <f>'Input Data'!F70</f>
        <v>0</v>
      </c>
      <c r="F3" s="12">
        <f>'Input Data'!G70</f>
        <v>0</v>
      </c>
      <c r="G3" s="12">
        <f>'Input Data'!H70</f>
        <v>0</v>
      </c>
      <c r="H3" s="12">
        <f>'Input Data'!I70</f>
        <v>0</v>
      </c>
      <c r="I3" s="12">
        <f>'Input Data'!J70</f>
        <v>0</v>
      </c>
      <c r="J3" s="445"/>
    </row>
    <row r="5" spans="1:16" ht="18">
      <c r="A5" s="2" t="s">
        <v>80</v>
      </c>
    </row>
    <row r="6" spans="1:16" ht="18">
      <c r="A6" s="13" t="s">
        <v>70</v>
      </c>
      <c r="B6" s="7">
        <v>0</v>
      </c>
      <c r="C6" s="7">
        <v>10</v>
      </c>
      <c r="D6" s="7">
        <v>15</v>
      </c>
      <c r="E6" s="7">
        <v>20</v>
      </c>
      <c r="F6" s="7">
        <v>30</v>
      </c>
      <c r="G6" s="7">
        <v>40</v>
      </c>
      <c r="H6" s="7">
        <v>45</v>
      </c>
      <c r="I6" s="7">
        <v>50</v>
      </c>
      <c r="J6" s="7">
        <v>60</v>
      </c>
      <c r="K6" s="7">
        <v>70</v>
      </c>
      <c r="L6" s="3">
        <v>75</v>
      </c>
      <c r="M6" s="3">
        <v>90</v>
      </c>
    </row>
    <row r="7" spans="1:16" ht="18">
      <c r="A7" s="13" t="s">
        <v>75</v>
      </c>
      <c r="B7" s="54">
        <f t="shared" ref="B7:M7" si="0">RADIANS(B6)</f>
        <v>0</v>
      </c>
      <c r="C7" s="54">
        <f t="shared" si="0"/>
        <v>0.17453292519943295</v>
      </c>
      <c r="D7" s="54">
        <f t="shared" si="0"/>
        <v>0.26179938779914941</v>
      </c>
      <c r="E7" s="54">
        <f t="shared" si="0"/>
        <v>0.3490658503988659</v>
      </c>
      <c r="F7" s="54">
        <f t="shared" si="0"/>
        <v>0.52359877559829882</v>
      </c>
      <c r="G7" s="54">
        <f t="shared" si="0"/>
        <v>0.69813170079773179</v>
      </c>
      <c r="H7" s="54">
        <f t="shared" si="0"/>
        <v>0.78539816339744828</v>
      </c>
      <c r="I7" s="54">
        <f t="shared" si="0"/>
        <v>0.87266462599716477</v>
      </c>
      <c r="J7" s="54">
        <f t="shared" si="0"/>
        <v>1.0471975511965976</v>
      </c>
      <c r="K7" s="54">
        <f t="shared" si="0"/>
        <v>1.2217304763960306</v>
      </c>
      <c r="L7" s="54">
        <f t="shared" si="0"/>
        <v>1.3089969389957472</v>
      </c>
      <c r="M7" s="54">
        <f t="shared" si="0"/>
        <v>1.5707963267948966</v>
      </c>
      <c r="N7" s="83"/>
    </row>
    <row r="8" spans="1:16" ht="18">
      <c r="A8" s="13" t="s">
        <v>74</v>
      </c>
      <c r="B8" s="16">
        <f>B3</f>
        <v>1</v>
      </c>
      <c r="C8" s="16">
        <f>C3</f>
        <v>0</v>
      </c>
      <c r="D8" s="102">
        <f>((C8-E8)/(C6-E6))*(D6-C6)+C8</f>
        <v>0</v>
      </c>
      <c r="E8" s="16">
        <f>D3</f>
        <v>0</v>
      </c>
      <c r="F8" s="16">
        <f>E3</f>
        <v>0</v>
      </c>
      <c r="G8" s="16">
        <f>F3</f>
        <v>0</v>
      </c>
      <c r="H8" s="102">
        <f>((G8-I8)/(G6-I6))*(H6-G6)+G8</f>
        <v>0</v>
      </c>
      <c r="I8" s="16">
        <f>G3</f>
        <v>0</v>
      </c>
      <c r="J8" s="16">
        <f>H3</f>
        <v>0</v>
      </c>
      <c r="K8" s="16">
        <f>I3</f>
        <v>0</v>
      </c>
      <c r="L8" s="102">
        <f>((K8-M8)/(K6-M6))*(L6-K6)+K8</f>
        <v>0</v>
      </c>
      <c r="M8" s="17">
        <v>0</v>
      </c>
      <c r="N8" s="83"/>
    </row>
    <row r="9" spans="1:16" ht="18">
      <c r="A9" s="18" t="s">
        <v>76</v>
      </c>
      <c r="B9" s="54">
        <f t="shared" ref="B9:M9" si="1">SIN(2*(B7))</f>
        <v>0</v>
      </c>
      <c r="C9" s="54">
        <f t="shared" si="1"/>
        <v>0.34202014332566871</v>
      </c>
      <c r="D9" s="54">
        <f t="shared" si="1"/>
        <v>0.49999999999999994</v>
      </c>
      <c r="E9" s="54">
        <f t="shared" si="1"/>
        <v>0.64278760968653925</v>
      </c>
      <c r="F9" s="54">
        <f t="shared" si="1"/>
        <v>0.8660254037844386</v>
      </c>
      <c r="G9" s="54">
        <f t="shared" si="1"/>
        <v>0.98480775301220802</v>
      </c>
      <c r="H9" s="54">
        <f t="shared" si="1"/>
        <v>1</v>
      </c>
      <c r="I9" s="54">
        <f t="shared" si="1"/>
        <v>0.98480775301220802</v>
      </c>
      <c r="J9" s="54">
        <f t="shared" si="1"/>
        <v>0.86602540378443871</v>
      </c>
      <c r="K9" s="54">
        <f t="shared" si="1"/>
        <v>0.64278760968653947</v>
      </c>
      <c r="L9" s="54">
        <f t="shared" si="1"/>
        <v>0.49999999999999994</v>
      </c>
      <c r="M9" s="54">
        <f t="shared" si="1"/>
        <v>1.22514845490862E-16</v>
      </c>
      <c r="N9" s="83"/>
    </row>
    <row r="10" spans="1:16" ht="18">
      <c r="A10" s="18" t="s">
        <v>77</v>
      </c>
      <c r="B10" s="54">
        <f t="shared" ref="B10:M10" si="2">B8*B9</f>
        <v>0</v>
      </c>
      <c r="C10" s="54">
        <f t="shared" si="2"/>
        <v>0</v>
      </c>
      <c r="D10" s="54">
        <f t="shared" si="2"/>
        <v>0</v>
      </c>
      <c r="E10" s="54">
        <f t="shared" si="2"/>
        <v>0</v>
      </c>
      <c r="F10" s="54">
        <f t="shared" si="2"/>
        <v>0</v>
      </c>
      <c r="G10" s="54">
        <f t="shared" si="2"/>
        <v>0</v>
      </c>
      <c r="H10" s="54">
        <f t="shared" si="2"/>
        <v>0</v>
      </c>
      <c r="I10" s="54">
        <f t="shared" si="2"/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83"/>
    </row>
    <row r="11" spans="1:16" ht="18">
      <c r="A11" s="18" t="s">
        <v>78</v>
      </c>
      <c r="B11" s="26"/>
      <c r="C11" s="14">
        <f t="shared" ref="C11:M11" si="3">((C10+B10)/2)*(C7-B7)</f>
        <v>0</v>
      </c>
      <c r="D11" s="14">
        <f t="shared" si="3"/>
        <v>0</v>
      </c>
      <c r="E11" s="14">
        <f t="shared" si="3"/>
        <v>0</v>
      </c>
      <c r="F11" s="14">
        <f t="shared" si="3"/>
        <v>0</v>
      </c>
      <c r="G11" s="14">
        <f t="shared" si="3"/>
        <v>0</v>
      </c>
      <c r="H11" s="14">
        <f t="shared" si="3"/>
        <v>0</v>
      </c>
      <c r="I11" s="14">
        <f t="shared" si="3"/>
        <v>0</v>
      </c>
      <c r="J11" s="14">
        <f t="shared" si="3"/>
        <v>0</v>
      </c>
      <c r="K11" s="101">
        <f t="shared" si="3"/>
        <v>0</v>
      </c>
      <c r="L11" s="101">
        <f t="shared" si="3"/>
        <v>0</v>
      </c>
      <c r="M11" s="14">
        <f t="shared" si="3"/>
        <v>0</v>
      </c>
      <c r="N11" s="97"/>
      <c r="O11" s="95"/>
    </row>
    <row r="12" spans="1:16" ht="18.75" thickBot="1">
      <c r="K12" s="98"/>
      <c r="L12" s="99" t="s">
        <v>79</v>
      </c>
      <c r="M12" s="350">
        <f>SUM(B11:M11)</f>
        <v>0</v>
      </c>
    </row>
    <row r="13" spans="1:16" ht="18.75" thickBot="1">
      <c r="A13" s="96" t="s">
        <v>263</v>
      </c>
      <c r="B13" s="100">
        <f>M12</f>
        <v>0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Z67"/>
  <sheetViews>
    <sheetView zoomScaleNormal="100" workbookViewId="0">
      <selection activeCell="A65" sqref="A65"/>
    </sheetView>
  </sheetViews>
  <sheetFormatPr defaultRowHeight="15"/>
  <cols>
    <col min="1" max="10" width="10.7109375" style="53" customWidth="1"/>
    <col min="11" max="12" width="10.7109375" style="56" customWidth="1"/>
    <col min="13" max="13" width="10.7109375" style="401" customWidth="1"/>
    <col min="14" max="23" width="10.7109375" style="53" customWidth="1"/>
    <col min="24" max="24" width="9.140625" style="53"/>
    <col min="25" max="25" width="11.140625" style="53" customWidth="1"/>
    <col min="26" max="26" width="12.7109375" style="53" customWidth="1"/>
    <col min="27" max="16384" width="9.140625" style="53"/>
  </cols>
  <sheetData>
    <row r="1" spans="1:26" ht="18" customHeight="1">
      <c r="A1" s="623" t="s">
        <v>24</v>
      </c>
      <c r="B1" s="624"/>
      <c r="C1" s="625"/>
      <c r="D1" s="626"/>
      <c r="E1" s="626"/>
      <c r="F1" s="626"/>
      <c r="G1" s="626"/>
      <c r="H1" s="6"/>
      <c r="M1" s="397"/>
      <c r="N1" s="122"/>
      <c r="O1" s="122"/>
      <c r="R1" s="62"/>
    </row>
    <row r="2" spans="1:26" ht="18" customHeight="1">
      <c r="A2" s="311" t="s">
        <v>22</v>
      </c>
      <c r="B2" s="313">
        <f>'Input Data'!C60</f>
        <v>0</v>
      </c>
      <c r="C2" s="314"/>
      <c r="D2" s="307"/>
      <c r="H2" s="582" t="s">
        <v>259</v>
      </c>
      <c r="I2" s="583"/>
      <c r="J2" s="597" t="s">
        <v>3</v>
      </c>
      <c r="K2" s="597"/>
      <c r="L2" s="320">
        <v>-71</v>
      </c>
      <c r="M2" s="321" t="s">
        <v>245</v>
      </c>
    </row>
    <row r="3" spans="1:26" ht="18">
      <c r="A3" s="311" t="s">
        <v>38</v>
      </c>
      <c r="B3" s="317">
        <f>'Input Data'!C61</f>
        <v>0</v>
      </c>
      <c r="C3" s="315" t="s">
        <v>231</v>
      </c>
      <c r="D3" s="304"/>
      <c r="E3" s="304"/>
      <c r="F3" s="303"/>
      <c r="G3" s="6"/>
      <c r="H3" s="584"/>
      <c r="I3" s="585"/>
      <c r="J3" s="598" t="s">
        <v>6</v>
      </c>
      <c r="K3" s="598"/>
      <c r="L3" s="320">
        <v>-71</v>
      </c>
      <c r="M3" s="321" t="s">
        <v>245</v>
      </c>
    </row>
    <row r="4" spans="1:26" ht="18">
      <c r="A4" s="312" t="s">
        <v>39</v>
      </c>
      <c r="B4" s="318">
        <f>'Input Data'!C62</f>
        <v>0</v>
      </c>
      <c r="C4" s="316" t="s">
        <v>37</v>
      </c>
      <c r="D4" s="308"/>
      <c r="E4" s="308"/>
      <c r="F4" s="305"/>
      <c r="H4" s="586"/>
      <c r="I4" s="587"/>
      <c r="J4" s="598" t="s">
        <v>0</v>
      </c>
      <c r="K4" s="598"/>
      <c r="L4" s="320">
        <v>-71</v>
      </c>
      <c r="M4" s="321" t="s">
        <v>245</v>
      </c>
    </row>
    <row r="5" spans="1:26" ht="15" customHeight="1">
      <c r="A5" s="322" t="s">
        <v>40</v>
      </c>
      <c r="B5" s="323">
        <f>'Input Data'!C63</f>
        <v>0</v>
      </c>
      <c r="C5" s="324" t="s">
        <v>278</v>
      </c>
      <c r="D5" s="309"/>
      <c r="E5" s="309"/>
      <c r="F5" s="305"/>
      <c r="G5" s="306"/>
      <c r="H5" s="62"/>
      <c r="I5" s="62"/>
      <c r="J5" s="62"/>
      <c r="K5" s="398"/>
      <c r="L5" s="62"/>
      <c r="M5" s="62"/>
      <c r="N5" s="62"/>
      <c r="O5" s="62"/>
      <c r="P5" s="62"/>
    </row>
    <row r="6" spans="1:26" ht="15" customHeight="1">
      <c r="A6" s="590" t="s">
        <v>260</v>
      </c>
      <c r="B6" s="590"/>
      <c r="C6" s="590"/>
      <c r="D6" s="590"/>
      <c r="E6" s="590"/>
      <c r="F6" s="590"/>
      <c r="G6" s="590"/>
      <c r="H6" s="61"/>
      <c r="I6" s="61"/>
      <c r="J6" s="580" t="s">
        <v>41</v>
      </c>
      <c r="K6" s="581"/>
      <c r="L6" s="417">
        <v>1.34</v>
      </c>
      <c r="M6" s="319" t="s">
        <v>42</v>
      </c>
      <c r="N6" s="310"/>
      <c r="O6" s="310"/>
      <c r="P6" s="310"/>
    </row>
    <row r="7" spans="1:26" ht="15" customHeight="1">
      <c r="A7" s="51" t="s">
        <v>21</v>
      </c>
      <c r="B7" s="591" t="str">
        <f>CONCATENATE("η = ",B2,"(1-",B3,"u) - (",B4," + ",B4,"u)Ti*")</f>
        <v>η = 0(1-0u) - (0 + 0u)Ti*</v>
      </c>
      <c r="C7" s="592"/>
      <c r="D7" s="592"/>
      <c r="E7" s="592"/>
      <c r="F7" s="592"/>
      <c r="G7" s="593"/>
      <c r="H7" s="52"/>
      <c r="J7" s="61"/>
      <c r="K7" s="61"/>
      <c r="L7" s="61"/>
      <c r="M7" s="394"/>
      <c r="N7" s="310"/>
      <c r="O7" s="310"/>
      <c r="P7" s="310"/>
      <c r="Q7" s="310"/>
      <c r="R7" s="310"/>
    </row>
    <row r="8" spans="1:26" s="58" customFormat="1" ht="15" customHeight="1">
      <c r="A8" s="57"/>
      <c r="B8" s="57"/>
      <c r="C8" s="57"/>
      <c r="D8" s="57"/>
      <c r="E8" s="57"/>
      <c r="F8" s="57"/>
      <c r="G8" s="57"/>
      <c r="H8" s="57"/>
      <c r="J8" s="59"/>
      <c r="K8" s="59"/>
      <c r="L8" s="59"/>
      <c r="M8" s="395"/>
      <c r="N8" s="60"/>
      <c r="O8" s="60"/>
      <c r="P8" s="60"/>
      <c r="Q8" s="60"/>
      <c r="R8" s="60"/>
    </row>
    <row r="9" spans="1:26" ht="18.75">
      <c r="A9" s="588" t="s">
        <v>3</v>
      </c>
      <c r="B9" s="589"/>
      <c r="C9" s="589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</row>
    <row r="10" spans="1:26" ht="15" customHeight="1">
      <c r="A10" s="607" t="s">
        <v>1</v>
      </c>
      <c r="B10" s="609" t="s">
        <v>48</v>
      </c>
      <c r="C10" s="594" t="s">
        <v>4</v>
      </c>
      <c r="D10" s="595"/>
      <c r="E10" s="596"/>
      <c r="F10" s="594" t="s">
        <v>7</v>
      </c>
      <c r="G10" s="595"/>
      <c r="H10" s="596"/>
      <c r="I10" s="594" t="s">
        <v>55</v>
      </c>
      <c r="J10" s="596"/>
      <c r="K10" s="577" t="s">
        <v>8</v>
      </c>
      <c r="L10" s="578"/>
      <c r="M10" s="579"/>
      <c r="N10" s="594" t="s">
        <v>54</v>
      </c>
      <c r="O10" s="595"/>
      <c r="P10" s="595"/>
      <c r="Q10" s="595"/>
      <c r="R10" s="596"/>
      <c r="S10" s="594" t="s">
        <v>56</v>
      </c>
      <c r="T10" s="595"/>
      <c r="U10" s="595"/>
      <c r="V10" s="595"/>
      <c r="W10" s="596"/>
    </row>
    <row r="11" spans="1:26" ht="50.1" customHeight="1">
      <c r="A11" s="608"/>
      <c r="B11" s="610"/>
      <c r="C11" s="613" t="s">
        <v>45</v>
      </c>
      <c r="D11" s="574" t="s">
        <v>46</v>
      </c>
      <c r="E11" s="616" t="s">
        <v>47</v>
      </c>
      <c r="F11" s="613" t="s">
        <v>49</v>
      </c>
      <c r="G11" s="574" t="s">
        <v>50</v>
      </c>
      <c r="H11" s="605" t="s">
        <v>51</v>
      </c>
      <c r="I11" s="601" t="s">
        <v>261</v>
      </c>
      <c r="J11" s="603" t="s">
        <v>262</v>
      </c>
      <c r="K11" s="614" t="s">
        <v>81</v>
      </c>
      <c r="L11" s="575" t="s">
        <v>53</v>
      </c>
      <c r="M11" s="611" t="s">
        <v>52</v>
      </c>
      <c r="N11" s="55" t="s">
        <v>82</v>
      </c>
      <c r="O11" s="36" t="s">
        <v>87</v>
      </c>
      <c r="P11" s="36" t="s">
        <v>88</v>
      </c>
      <c r="Q11" s="36" t="s">
        <v>89</v>
      </c>
      <c r="R11" s="103" t="s">
        <v>90</v>
      </c>
      <c r="S11" s="419" t="s">
        <v>82</v>
      </c>
      <c r="T11" s="36" t="s">
        <v>87</v>
      </c>
      <c r="U11" s="36" t="s">
        <v>88</v>
      </c>
      <c r="V11" s="36" t="s">
        <v>89</v>
      </c>
      <c r="W11" s="420" t="s">
        <v>90</v>
      </c>
    </row>
    <row r="12" spans="1:26" ht="14.25" customHeight="1">
      <c r="A12" s="608"/>
      <c r="B12" s="610"/>
      <c r="C12" s="613"/>
      <c r="D12" s="574"/>
      <c r="E12" s="616"/>
      <c r="F12" s="613"/>
      <c r="G12" s="574"/>
      <c r="H12" s="606"/>
      <c r="I12" s="601"/>
      <c r="J12" s="603"/>
      <c r="K12" s="615"/>
      <c r="L12" s="576"/>
      <c r="M12" s="612"/>
      <c r="N12" s="37">
        <v>-5</v>
      </c>
      <c r="O12" s="38">
        <v>5</v>
      </c>
      <c r="P12" s="38">
        <v>20</v>
      </c>
      <c r="Q12" s="38">
        <v>50</v>
      </c>
      <c r="R12" s="39">
        <v>80</v>
      </c>
      <c r="S12" s="37">
        <v>-5</v>
      </c>
      <c r="T12" s="38">
        <v>5</v>
      </c>
      <c r="U12" s="38">
        <v>20</v>
      </c>
      <c r="V12" s="38">
        <v>50</v>
      </c>
      <c r="W12" s="39">
        <v>80</v>
      </c>
      <c r="Y12" s="6"/>
      <c r="Z12" s="331"/>
    </row>
    <row r="13" spans="1:26" ht="15" customHeight="1">
      <c r="A13" s="40" t="s">
        <v>33</v>
      </c>
      <c r="B13" s="41" t="s">
        <v>5</v>
      </c>
      <c r="C13" s="74" t="s">
        <v>43</v>
      </c>
      <c r="D13" s="75" t="s">
        <v>43</v>
      </c>
      <c r="E13" s="76" t="s">
        <v>43</v>
      </c>
      <c r="F13" s="40" t="s">
        <v>5</v>
      </c>
      <c r="G13" s="42" t="s">
        <v>5</v>
      </c>
      <c r="H13" s="41" t="s">
        <v>5</v>
      </c>
      <c r="I13" s="602"/>
      <c r="J13" s="604"/>
      <c r="K13" s="74" t="s">
        <v>43</v>
      </c>
      <c r="L13" s="86" t="s">
        <v>43</v>
      </c>
      <c r="M13" s="396" t="s">
        <v>258</v>
      </c>
      <c r="N13" s="64" t="s">
        <v>25</v>
      </c>
      <c r="O13" s="65" t="s">
        <v>25</v>
      </c>
      <c r="P13" s="65" t="s">
        <v>25</v>
      </c>
      <c r="Q13" s="65" t="s">
        <v>25</v>
      </c>
      <c r="R13" s="66" t="s">
        <v>25</v>
      </c>
      <c r="S13" s="40" t="s">
        <v>60</v>
      </c>
      <c r="T13" s="42" t="s">
        <v>60</v>
      </c>
      <c r="U13" s="42" t="s">
        <v>60</v>
      </c>
      <c r="V13" s="42" t="s">
        <v>60</v>
      </c>
      <c r="W13" s="41" t="s">
        <v>60</v>
      </c>
      <c r="Y13" s="617"/>
      <c r="Z13" s="619" t="s">
        <v>32</v>
      </c>
    </row>
    <row r="14" spans="1:26">
      <c r="A14" s="29">
        <v>7</v>
      </c>
      <c r="B14" s="30">
        <f>(180/12)*ABS(12-A14)</f>
        <v>75</v>
      </c>
      <c r="C14" s="77">
        <v>116.71948160985114</v>
      </c>
      <c r="D14" s="78">
        <v>47.318708760750461</v>
      </c>
      <c r="E14" s="79">
        <v>164.0381903706016</v>
      </c>
      <c r="F14" s="29">
        <f>B14</f>
        <v>75</v>
      </c>
      <c r="G14" s="15">
        <f>B14</f>
        <v>75</v>
      </c>
      <c r="H14" s="30">
        <v>0</v>
      </c>
      <c r="I14" s="48">
        <f>'IAM, (Numerical)'!L26</f>
        <v>0</v>
      </c>
      <c r="J14" s="49">
        <f>'Diffuse Modifier (Numerical)'!$B$13</f>
        <v>0</v>
      </c>
      <c r="K14" s="45">
        <f>($C14*$I14)+($D14*$J14)</f>
        <v>0</v>
      </c>
      <c r="L14" s="84">
        <f t="shared" ref="L14:L24" si="0">$L$2</f>
        <v>-71</v>
      </c>
      <c r="M14" s="399">
        <f>K14+L14</f>
        <v>-71</v>
      </c>
      <c r="N14" s="68">
        <f t="shared" ref="N14:R24" si="1">$B$2*(1-($B$3*$L$6))-($B$4+($B$5*$L$6))*(N$12/$M14)</f>
        <v>0</v>
      </c>
      <c r="O14" s="69">
        <f t="shared" si="1"/>
        <v>0</v>
      </c>
      <c r="P14" s="69">
        <f t="shared" si="1"/>
        <v>0</v>
      </c>
      <c r="Q14" s="69">
        <f t="shared" si="1"/>
        <v>0</v>
      </c>
      <c r="R14" s="70">
        <f t="shared" si="1"/>
        <v>0</v>
      </c>
      <c r="S14" s="334">
        <f>IF(N14*$M14&gt;0,N14*$M14,0)</f>
        <v>0</v>
      </c>
      <c r="T14" s="44">
        <f t="shared" ref="T14:T24" si="2">IF(O14*$M14&gt;0,O14*$M14,0)</f>
        <v>0</v>
      </c>
      <c r="U14" s="44">
        <f t="shared" ref="U14:U24" si="3">IF(P14*$M14&gt;0,P14*$M14,0)</f>
        <v>0</v>
      </c>
      <c r="V14" s="44">
        <f t="shared" ref="V14:V24" si="4">IF(Q14*$M14&gt;0,Q14*$M14,0)</f>
        <v>0</v>
      </c>
      <c r="W14" s="335">
        <f t="shared" ref="W14:W24" si="5">IF(R14*$M14&gt;0,R14*$M14,0)</f>
        <v>0</v>
      </c>
      <c r="Y14" s="617"/>
      <c r="Z14" s="620"/>
    </row>
    <row r="15" spans="1:26" ht="15" customHeight="1">
      <c r="A15" s="29">
        <v>8</v>
      </c>
      <c r="B15" s="30">
        <f>(180/12)*ABS(12-A15)</f>
        <v>60</v>
      </c>
      <c r="C15" s="77">
        <v>268.1393496442526</v>
      </c>
      <c r="D15" s="78">
        <v>91.482836937450884</v>
      </c>
      <c r="E15" s="79">
        <v>359.62218658170349</v>
      </c>
      <c r="F15" s="29">
        <f t="shared" ref="F15:F24" si="6">B15</f>
        <v>60</v>
      </c>
      <c r="G15" s="15">
        <f t="shared" ref="G15:G24" si="7">B15</f>
        <v>60</v>
      </c>
      <c r="H15" s="30">
        <v>0</v>
      </c>
      <c r="I15" s="27">
        <f>'IAM, (Numerical)'!J26</f>
        <v>0</v>
      </c>
      <c r="J15" s="43">
        <f>'Diffuse Modifier (Numerical)'!$B$13</f>
        <v>0</v>
      </c>
      <c r="K15" s="45">
        <f t="shared" ref="K15:K24" si="8">($C15*$I15)+($D15*$J15)</f>
        <v>0</v>
      </c>
      <c r="L15" s="25">
        <f t="shared" si="0"/>
        <v>-71</v>
      </c>
      <c r="M15" s="399">
        <f t="shared" ref="M15:M24" si="9">K15+L15</f>
        <v>-71</v>
      </c>
      <c r="N15" s="21">
        <f t="shared" si="1"/>
        <v>0</v>
      </c>
      <c r="O15" s="22">
        <f t="shared" si="1"/>
        <v>0</v>
      </c>
      <c r="P15" s="22">
        <f t="shared" si="1"/>
        <v>0</v>
      </c>
      <c r="Q15" s="22">
        <f t="shared" si="1"/>
        <v>0</v>
      </c>
      <c r="R15" s="23">
        <f t="shared" si="1"/>
        <v>0</v>
      </c>
      <c r="S15" s="336">
        <f t="shared" ref="S15:S24" si="10">IF(N15*$M15&gt;0,N15*$M15,0)</f>
        <v>0</v>
      </c>
      <c r="T15" s="24">
        <f t="shared" si="2"/>
        <v>0</v>
      </c>
      <c r="U15" s="24">
        <f t="shared" si="3"/>
        <v>0</v>
      </c>
      <c r="V15" s="24">
        <f t="shared" si="4"/>
        <v>0</v>
      </c>
      <c r="W15" s="337">
        <f t="shared" si="5"/>
        <v>0</v>
      </c>
      <c r="Y15" s="617"/>
      <c r="Z15" s="621" t="s">
        <v>31</v>
      </c>
    </row>
    <row r="16" spans="1:26" ht="15" customHeight="1">
      <c r="A16" s="29">
        <v>9</v>
      </c>
      <c r="B16" s="30">
        <f t="shared" ref="B16:B24" si="11">(180/12)*ABS(12-A16)</f>
        <v>45</v>
      </c>
      <c r="C16" s="77">
        <v>435.33212059890423</v>
      </c>
      <c r="D16" s="78">
        <v>126.18322336200123</v>
      </c>
      <c r="E16" s="79">
        <v>561.51534396090551</v>
      </c>
      <c r="F16" s="29">
        <f t="shared" si="6"/>
        <v>45</v>
      </c>
      <c r="G16" s="15">
        <f t="shared" si="7"/>
        <v>45</v>
      </c>
      <c r="H16" s="30">
        <v>0</v>
      </c>
      <c r="I16" s="27">
        <f>'IAM, (Numerical)'!H26</f>
        <v>0</v>
      </c>
      <c r="J16" s="43">
        <f>'Diffuse Modifier (Numerical)'!$B$13</f>
        <v>0</v>
      </c>
      <c r="K16" s="45">
        <f t="shared" si="8"/>
        <v>0</v>
      </c>
      <c r="L16" s="25">
        <f t="shared" si="0"/>
        <v>-71</v>
      </c>
      <c r="M16" s="399">
        <f t="shared" si="9"/>
        <v>-71</v>
      </c>
      <c r="N16" s="21">
        <f t="shared" si="1"/>
        <v>0</v>
      </c>
      <c r="O16" s="22">
        <f t="shared" si="1"/>
        <v>0</v>
      </c>
      <c r="P16" s="22">
        <f t="shared" si="1"/>
        <v>0</v>
      </c>
      <c r="Q16" s="22">
        <f t="shared" si="1"/>
        <v>0</v>
      </c>
      <c r="R16" s="23">
        <f t="shared" si="1"/>
        <v>0</v>
      </c>
      <c r="S16" s="336">
        <f t="shared" si="10"/>
        <v>0</v>
      </c>
      <c r="T16" s="24">
        <f t="shared" si="2"/>
        <v>0</v>
      </c>
      <c r="U16" s="24">
        <f t="shared" si="3"/>
        <v>0</v>
      </c>
      <c r="V16" s="24">
        <f t="shared" si="4"/>
        <v>0</v>
      </c>
      <c r="W16" s="337">
        <f t="shared" si="5"/>
        <v>0</v>
      </c>
      <c r="Y16" s="617"/>
      <c r="Z16" s="622"/>
    </row>
    <row r="17" spans="1:26">
      <c r="A17" s="29">
        <v>10</v>
      </c>
      <c r="B17" s="30">
        <f t="shared" si="11"/>
        <v>30</v>
      </c>
      <c r="C17" s="77">
        <v>589.90656921735581</v>
      </c>
      <c r="D17" s="78">
        <v>157.72902920250152</v>
      </c>
      <c r="E17" s="79">
        <v>747.63559841985727</v>
      </c>
      <c r="F17" s="29">
        <f t="shared" si="6"/>
        <v>30</v>
      </c>
      <c r="G17" s="15">
        <f t="shared" si="7"/>
        <v>30</v>
      </c>
      <c r="H17" s="30">
        <v>0</v>
      </c>
      <c r="I17" s="27">
        <f>'IAM, (Numerical)'!F26</f>
        <v>0</v>
      </c>
      <c r="J17" s="43">
        <f>'Diffuse Modifier (Numerical)'!$B$13</f>
        <v>0</v>
      </c>
      <c r="K17" s="45">
        <f t="shared" si="8"/>
        <v>0</v>
      </c>
      <c r="L17" s="25">
        <f t="shared" si="0"/>
        <v>-71</v>
      </c>
      <c r="M17" s="399">
        <f t="shared" si="9"/>
        <v>-71</v>
      </c>
      <c r="N17" s="21">
        <f t="shared" si="1"/>
        <v>0</v>
      </c>
      <c r="O17" s="22">
        <f t="shared" si="1"/>
        <v>0</v>
      </c>
      <c r="P17" s="22">
        <f t="shared" si="1"/>
        <v>0</v>
      </c>
      <c r="Q17" s="22">
        <f t="shared" si="1"/>
        <v>0</v>
      </c>
      <c r="R17" s="23">
        <f t="shared" si="1"/>
        <v>0</v>
      </c>
      <c r="S17" s="336">
        <f t="shared" si="10"/>
        <v>0</v>
      </c>
      <c r="T17" s="24">
        <f t="shared" si="2"/>
        <v>0</v>
      </c>
      <c r="U17" s="24">
        <f t="shared" si="3"/>
        <v>0</v>
      </c>
      <c r="V17" s="24">
        <f t="shared" si="4"/>
        <v>0</v>
      </c>
      <c r="W17" s="337">
        <f t="shared" si="5"/>
        <v>0</v>
      </c>
      <c r="Y17" s="617"/>
      <c r="Z17" s="93" t="s">
        <v>57</v>
      </c>
    </row>
    <row r="18" spans="1:26" ht="17.25">
      <c r="A18" s="29">
        <v>11</v>
      </c>
      <c r="B18" s="30">
        <f t="shared" si="11"/>
        <v>15</v>
      </c>
      <c r="C18" s="77">
        <v>694.00772849100667</v>
      </c>
      <c r="D18" s="78">
        <v>173.50193212275167</v>
      </c>
      <c r="E18" s="79">
        <v>867.50966061375846</v>
      </c>
      <c r="F18" s="29">
        <f t="shared" si="6"/>
        <v>15</v>
      </c>
      <c r="G18" s="15">
        <f t="shared" si="7"/>
        <v>15</v>
      </c>
      <c r="H18" s="30">
        <v>0</v>
      </c>
      <c r="I18" s="27">
        <f>'IAM, (Numerical)'!D26</f>
        <v>0</v>
      </c>
      <c r="J18" s="43">
        <f>'Diffuse Modifier (Numerical)'!$B$13</f>
        <v>0</v>
      </c>
      <c r="K18" s="45">
        <f t="shared" si="8"/>
        <v>0</v>
      </c>
      <c r="L18" s="25">
        <f t="shared" si="0"/>
        <v>-71</v>
      </c>
      <c r="M18" s="399">
        <f t="shared" si="9"/>
        <v>-71</v>
      </c>
      <c r="N18" s="21">
        <f t="shared" si="1"/>
        <v>0</v>
      </c>
      <c r="O18" s="22">
        <f t="shared" si="1"/>
        <v>0</v>
      </c>
      <c r="P18" s="22">
        <f t="shared" si="1"/>
        <v>0</v>
      </c>
      <c r="Q18" s="22">
        <f t="shared" si="1"/>
        <v>0</v>
      </c>
      <c r="R18" s="23">
        <f t="shared" si="1"/>
        <v>0</v>
      </c>
      <c r="S18" s="336">
        <f t="shared" si="10"/>
        <v>0</v>
      </c>
      <c r="T18" s="24">
        <f t="shared" si="2"/>
        <v>0</v>
      </c>
      <c r="U18" s="24">
        <f t="shared" si="3"/>
        <v>0</v>
      </c>
      <c r="V18" s="24">
        <f t="shared" si="4"/>
        <v>0</v>
      </c>
      <c r="W18" s="337">
        <f t="shared" si="5"/>
        <v>0</v>
      </c>
      <c r="Y18" s="617"/>
      <c r="Z18" s="333" t="s">
        <v>58</v>
      </c>
    </row>
    <row r="19" spans="1:26" ht="17.25">
      <c r="A19" s="29">
        <v>12</v>
      </c>
      <c r="B19" s="30">
        <f t="shared" si="11"/>
        <v>0</v>
      </c>
      <c r="C19" s="77">
        <v>728.70811491555708</v>
      </c>
      <c r="D19" s="78">
        <v>179.81109329085174</v>
      </c>
      <c r="E19" s="79">
        <v>908.51920820640885</v>
      </c>
      <c r="F19" s="29">
        <f t="shared" si="6"/>
        <v>0</v>
      </c>
      <c r="G19" s="15">
        <f t="shared" si="7"/>
        <v>0</v>
      </c>
      <c r="H19" s="30">
        <v>0</v>
      </c>
      <c r="I19" s="27">
        <f>'IAM, (Numerical)'!B26</f>
        <v>1</v>
      </c>
      <c r="J19" s="43">
        <f>'Diffuse Modifier (Numerical)'!$B$13</f>
        <v>0</v>
      </c>
      <c r="K19" s="45">
        <f t="shared" si="8"/>
        <v>728.70811491555708</v>
      </c>
      <c r="L19" s="25">
        <f t="shared" si="0"/>
        <v>-71</v>
      </c>
      <c r="M19" s="399">
        <f t="shared" si="9"/>
        <v>657.70811491555708</v>
      </c>
      <c r="N19" s="21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  <c r="R19" s="23">
        <f t="shared" si="1"/>
        <v>0</v>
      </c>
      <c r="S19" s="336">
        <f t="shared" si="10"/>
        <v>0</v>
      </c>
      <c r="T19" s="24">
        <f t="shared" si="2"/>
        <v>0</v>
      </c>
      <c r="U19" s="24">
        <f t="shared" si="3"/>
        <v>0</v>
      </c>
      <c r="V19" s="24">
        <f t="shared" si="4"/>
        <v>0</v>
      </c>
      <c r="W19" s="337">
        <f t="shared" si="5"/>
        <v>0</v>
      </c>
      <c r="Y19" s="618"/>
      <c r="Z19" s="91" t="s">
        <v>59</v>
      </c>
    </row>
    <row r="20" spans="1:26">
      <c r="A20" s="29">
        <v>13</v>
      </c>
      <c r="B20" s="30">
        <f t="shared" si="11"/>
        <v>15</v>
      </c>
      <c r="C20" s="77">
        <v>694.00772849100667</v>
      </c>
      <c r="D20" s="78">
        <v>173.50193212275167</v>
      </c>
      <c r="E20" s="79">
        <v>867.50966061375846</v>
      </c>
      <c r="F20" s="29">
        <f t="shared" si="6"/>
        <v>15</v>
      </c>
      <c r="G20" s="15">
        <f t="shared" si="7"/>
        <v>15</v>
      </c>
      <c r="H20" s="30">
        <v>0</v>
      </c>
      <c r="I20" s="27">
        <f>'IAM, (Numerical)'!D26</f>
        <v>0</v>
      </c>
      <c r="J20" s="43">
        <f>'Diffuse Modifier (Numerical)'!$B$13</f>
        <v>0</v>
      </c>
      <c r="K20" s="45">
        <f t="shared" si="8"/>
        <v>0</v>
      </c>
      <c r="L20" s="25">
        <f t="shared" si="0"/>
        <v>-71</v>
      </c>
      <c r="M20" s="399">
        <f t="shared" si="9"/>
        <v>-71</v>
      </c>
      <c r="N20" s="21">
        <f t="shared" si="1"/>
        <v>0</v>
      </c>
      <c r="O20" s="22">
        <f t="shared" si="1"/>
        <v>0</v>
      </c>
      <c r="P20" s="22">
        <f t="shared" si="1"/>
        <v>0</v>
      </c>
      <c r="Q20" s="22">
        <f t="shared" si="1"/>
        <v>0</v>
      </c>
      <c r="R20" s="23">
        <f t="shared" si="1"/>
        <v>0</v>
      </c>
      <c r="S20" s="336">
        <f t="shared" si="10"/>
        <v>0</v>
      </c>
      <c r="T20" s="24">
        <f t="shared" si="2"/>
        <v>0</v>
      </c>
      <c r="U20" s="24">
        <f t="shared" si="3"/>
        <v>0</v>
      </c>
      <c r="V20" s="24">
        <f t="shared" si="4"/>
        <v>0</v>
      </c>
      <c r="W20" s="337">
        <f t="shared" si="5"/>
        <v>0</v>
      </c>
      <c r="Y20" s="26" t="s">
        <v>26</v>
      </c>
      <c r="Z20" s="47">
        <f>S25/1000</f>
        <v>0</v>
      </c>
    </row>
    <row r="21" spans="1:26">
      <c r="A21" s="29">
        <v>14</v>
      </c>
      <c r="B21" s="30">
        <f t="shared" si="11"/>
        <v>30</v>
      </c>
      <c r="C21" s="77">
        <v>589.90656921735581</v>
      </c>
      <c r="D21" s="78">
        <v>157.72902920250152</v>
      </c>
      <c r="E21" s="79">
        <v>747.63559841985727</v>
      </c>
      <c r="F21" s="29">
        <f t="shared" si="6"/>
        <v>30</v>
      </c>
      <c r="G21" s="15">
        <f t="shared" si="7"/>
        <v>30</v>
      </c>
      <c r="H21" s="30">
        <v>0</v>
      </c>
      <c r="I21" s="27">
        <f>'IAM, (Numerical)'!$F$26</f>
        <v>0</v>
      </c>
      <c r="J21" s="43">
        <f>'Diffuse Modifier (Numerical)'!$B$13</f>
        <v>0</v>
      </c>
      <c r="K21" s="45">
        <f t="shared" si="8"/>
        <v>0</v>
      </c>
      <c r="L21" s="25">
        <f t="shared" si="0"/>
        <v>-71</v>
      </c>
      <c r="M21" s="399">
        <f t="shared" si="9"/>
        <v>-71</v>
      </c>
      <c r="N21" s="21">
        <f t="shared" si="1"/>
        <v>0</v>
      </c>
      <c r="O21" s="22">
        <f t="shared" si="1"/>
        <v>0</v>
      </c>
      <c r="P21" s="22">
        <f t="shared" si="1"/>
        <v>0</v>
      </c>
      <c r="Q21" s="22">
        <f t="shared" si="1"/>
        <v>0</v>
      </c>
      <c r="R21" s="23">
        <f t="shared" si="1"/>
        <v>0</v>
      </c>
      <c r="S21" s="336">
        <f t="shared" si="10"/>
        <v>0</v>
      </c>
      <c r="T21" s="24">
        <f t="shared" si="2"/>
        <v>0</v>
      </c>
      <c r="U21" s="24">
        <f t="shared" si="3"/>
        <v>0</v>
      </c>
      <c r="V21" s="24">
        <f t="shared" si="4"/>
        <v>0</v>
      </c>
      <c r="W21" s="337">
        <f t="shared" si="5"/>
        <v>0</v>
      </c>
      <c r="Y21" s="26" t="s">
        <v>27</v>
      </c>
      <c r="Z21" s="46">
        <f>T25/1000</f>
        <v>0</v>
      </c>
    </row>
    <row r="22" spans="1:26">
      <c r="A22" s="29">
        <v>15</v>
      </c>
      <c r="B22" s="30">
        <f t="shared" si="11"/>
        <v>45</v>
      </c>
      <c r="C22" s="77">
        <v>435.33212059890423</v>
      </c>
      <c r="D22" s="78">
        <v>126.18322336200123</v>
      </c>
      <c r="E22" s="79">
        <v>561.51534396090551</v>
      </c>
      <c r="F22" s="29">
        <f t="shared" si="6"/>
        <v>45</v>
      </c>
      <c r="G22" s="15">
        <f t="shared" si="7"/>
        <v>45</v>
      </c>
      <c r="H22" s="30">
        <v>0</v>
      </c>
      <c r="I22" s="27">
        <f>'IAM, (Numerical)'!H26</f>
        <v>0</v>
      </c>
      <c r="J22" s="43">
        <f>'Diffuse Modifier (Numerical)'!$B$13</f>
        <v>0</v>
      </c>
      <c r="K22" s="45">
        <f t="shared" si="8"/>
        <v>0</v>
      </c>
      <c r="L22" s="25">
        <f t="shared" si="0"/>
        <v>-71</v>
      </c>
      <c r="M22" s="399">
        <f t="shared" si="9"/>
        <v>-71</v>
      </c>
      <c r="N22" s="21">
        <f t="shared" si="1"/>
        <v>0</v>
      </c>
      <c r="O22" s="22">
        <f t="shared" si="1"/>
        <v>0</v>
      </c>
      <c r="P22" s="22">
        <f t="shared" si="1"/>
        <v>0</v>
      </c>
      <c r="Q22" s="22">
        <f t="shared" si="1"/>
        <v>0</v>
      </c>
      <c r="R22" s="23">
        <f t="shared" si="1"/>
        <v>0</v>
      </c>
      <c r="S22" s="336">
        <f t="shared" si="10"/>
        <v>0</v>
      </c>
      <c r="T22" s="24">
        <f t="shared" si="2"/>
        <v>0</v>
      </c>
      <c r="U22" s="24">
        <f t="shared" si="3"/>
        <v>0</v>
      </c>
      <c r="V22" s="24">
        <f t="shared" si="4"/>
        <v>0</v>
      </c>
      <c r="W22" s="337">
        <f t="shared" si="5"/>
        <v>0</v>
      </c>
      <c r="Y22" s="26" t="s">
        <v>28</v>
      </c>
      <c r="Z22" s="46">
        <f>U25/1000</f>
        <v>0</v>
      </c>
    </row>
    <row r="23" spans="1:26">
      <c r="A23" s="29">
        <v>16</v>
      </c>
      <c r="B23" s="30">
        <f t="shared" si="11"/>
        <v>60</v>
      </c>
      <c r="C23" s="77">
        <v>268.1393496442526</v>
      </c>
      <c r="D23" s="78">
        <v>91.482836937450884</v>
      </c>
      <c r="E23" s="79">
        <v>359.62218658170349</v>
      </c>
      <c r="F23" s="29">
        <f t="shared" si="6"/>
        <v>60</v>
      </c>
      <c r="G23" s="15">
        <f t="shared" si="7"/>
        <v>60</v>
      </c>
      <c r="H23" s="30">
        <v>0</v>
      </c>
      <c r="I23" s="27">
        <f>'IAM, (Numerical)'!J26</f>
        <v>0</v>
      </c>
      <c r="J23" s="43">
        <f>'Diffuse Modifier (Numerical)'!$B$13</f>
        <v>0</v>
      </c>
      <c r="K23" s="45">
        <f t="shared" si="8"/>
        <v>0</v>
      </c>
      <c r="L23" s="25">
        <f t="shared" si="0"/>
        <v>-71</v>
      </c>
      <c r="M23" s="399">
        <f t="shared" si="9"/>
        <v>-71</v>
      </c>
      <c r="N23" s="21">
        <f t="shared" si="1"/>
        <v>0</v>
      </c>
      <c r="O23" s="22">
        <f t="shared" si="1"/>
        <v>0</v>
      </c>
      <c r="P23" s="22">
        <f t="shared" si="1"/>
        <v>0</v>
      </c>
      <c r="Q23" s="22">
        <f t="shared" si="1"/>
        <v>0</v>
      </c>
      <c r="R23" s="23">
        <f t="shared" si="1"/>
        <v>0</v>
      </c>
      <c r="S23" s="336">
        <f t="shared" si="10"/>
        <v>0</v>
      </c>
      <c r="T23" s="24">
        <f t="shared" si="2"/>
        <v>0</v>
      </c>
      <c r="U23" s="24">
        <f t="shared" si="3"/>
        <v>0</v>
      </c>
      <c r="V23" s="24">
        <f t="shared" si="4"/>
        <v>0</v>
      </c>
      <c r="W23" s="337">
        <f t="shared" si="5"/>
        <v>0</v>
      </c>
      <c r="Y23" s="26" t="s">
        <v>29</v>
      </c>
      <c r="Z23" s="46">
        <f>V25/1000</f>
        <v>0</v>
      </c>
    </row>
    <row r="24" spans="1:26">
      <c r="A24" s="29">
        <v>17</v>
      </c>
      <c r="B24" s="30">
        <f t="shared" si="11"/>
        <v>75</v>
      </c>
      <c r="C24" s="77">
        <v>116.71948160985114</v>
      </c>
      <c r="D24" s="78">
        <v>47.318708760750461</v>
      </c>
      <c r="E24" s="79">
        <v>164.0381903706016</v>
      </c>
      <c r="F24" s="29">
        <f t="shared" si="6"/>
        <v>75</v>
      </c>
      <c r="G24" s="15">
        <f t="shared" si="7"/>
        <v>75</v>
      </c>
      <c r="H24" s="30">
        <v>0</v>
      </c>
      <c r="I24" s="28">
        <f>'IAM, (Numerical)'!L26</f>
        <v>0</v>
      </c>
      <c r="J24" s="50">
        <f>'Diffuse Modifier (Numerical)'!$B$13</f>
        <v>0</v>
      </c>
      <c r="K24" s="45">
        <f t="shared" si="8"/>
        <v>0</v>
      </c>
      <c r="L24" s="85">
        <f t="shared" si="0"/>
        <v>-71</v>
      </c>
      <c r="M24" s="399">
        <f t="shared" si="9"/>
        <v>-71</v>
      </c>
      <c r="N24" s="71">
        <f t="shared" si="1"/>
        <v>0</v>
      </c>
      <c r="O24" s="72">
        <f t="shared" si="1"/>
        <v>0</v>
      </c>
      <c r="P24" s="72">
        <f t="shared" si="1"/>
        <v>0</v>
      </c>
      <c r="Q24" s="72">
        <f t="shared" si="1"/>
        <v>0</v>
      </c>
      <c r="R24" s="73">
        <f t="shared" si="1"/>
        <v>0</v>
      </c>
      <c r="S24" s="336">
        <f t="shared" si="10"/>
        <v>0</v>
      </c>
      <c r="T24" s="24">
        <f t="shared" si="2"/>
        <v>0</v>
      </c>
      <c r="U24" s="24">
        <f t="shared" si="3"/>
        <v>0</v>
      </c>
      <c r="V24" s="24">
        <f t="shared" si="4"/>
        <v>0</v>
      </c>
      <c r="W24" s="337">
        <f t="shared" si="5"/>
        <v>0</v>
      </c>
      <c r="Y24" s="26" t="s">
        <v>30</v>
      </c>
      <c r="Z24" s="46">
        <f>W25/1000</f>
        <v>0</v>
      </c>
    </row>
    <row r="25" spans="1:26">
      <c r="A25" s="599" t="s">
        <v>44</v>
      </c>
      <c r="B25" s="600"/>
      <c r="C25" s="80">
        <f>SUM(C14:C24)</f>
        <v>4936.9186140382972</v>
      </c>
      <c r="D25" s="81">
        <f>SUM(D14:D24)</f>
        <v>1372.2425540617633</v>
      </c>
      <c r="E25" s="82">
        <f>SUM(E14:E24)</f>
        <v>6309.1611681000622</v>
      </c>
      <c r="F25" s="31"/>
      <c r="G25" s="32"/>
      <c r="H25" s="33"/>
      <c r="I25" s="34"/>
      <c r="J25" s="35"/>
      <c r="K25" s="31">
        <f t="shared" ref="K25:M25" si="12">SUM(K14:K24)</f>
        <v>728.70811491555708</v>
      </c>
      <c r="L25" s="32">
        <f t="shared" si="12"/>
        <v>-781</v>
      </c>
      <c r="M25" s="400">
        <f t="shared" si="12"/>
        <v>-52.291885084442924</v>
      </c>
      <c r="N25" s="34"/>
      <c r="O25" s="67"/>
      <c r="P25" s="67"/>
      <c r="Q25" s="67"/>
      <c r="R25" s="35"/>
      <c r="S25" s="31">
        <f>SUM(S14:S24)</f>
        <v>0</v>
      </c>
      <c r="T25" s="32">
        <f t="shared" ref="T25:W25" si="13">SUM(T14:T24)</f>
        <v>0</v>
      </c>
      <c r="U25" s="32">
        <f t="shared" si="13"/>
        <v>0</v>
      </c>
      <c r="V25" s="32">
        <f t="shared" si="13"/>
        <v>0</v>
      </c>
      <c r="W25" s="33">
        <f t="shared" si="13"/>
        <v>0</v>
      </c>
    </row>
    <row r="26" spans="1:26">
      <c r="A26" s="1"/>
      <c r="B26" s="1"/>
      <c r="C26" s="1"/>
      <c r="D26" s="1"/>
      <c r="E26" s="1"/>
      <c r="F26" s="1"/>
      <c r="G26" s="1"/>
      <c r="H26" s="1"/>
      <c r="R26" s="87" t="s">
        <v>25</v>
      </c>
      <c r="S26" s="88">
        <f>S25/$M25</f>
        <v>0</v>
      </c>
      <c r="T26" s="89">
        <f>T25/$M25</f>
        <v>0</v>
      </c>
      <c r="U26" s="89">
        <f>U25/$M25</f>
        <v>0</v>
      </c>
      <c r="V26" s="89">
        <f>V25/$M25</f>
        <v>0</v>
      </c>
      <c r="W26" s="90">
        <f>W25/$M25</f>
        <v>0</v>
      </c>
    </row>
    <row r="27" spans="1:26">
      <c r="A27" s="1"/>
      <c r="B27" s="1"/>
      <c r="C27" s="1"/>
      <c r="D27" s="1"/>
      <c r="E27" s="1"/>
      <c r="F27" s="1"/>
      <c r="G27" s="1"/>
      <c r="H27" s="1"/>
      <c r="R27" s="19"/>
      <c r="S27" s="20"/>
      <c r="T27" s="20"/>
      <c r="U27" s="20"/>
      <c r="V27" s="20"/>
      <c r="W27" s="20"/>
    </row>
    <row r="28" spans="1:26" ht="17.25" customHeight="1">
      <c r="A28" s="588" t="s">
        <v>2</v>
      </c>
      <c r="B28" s="589"/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</row>
    <row r="29" spans="1:26" ht="15" customHeight="1">
      <c r="A29" s="607" t="s">
        <v>1</v>
      </c>
      <c r="B29" s="609" t="s">
        <v>48</v>
      </c>
      <c r="C29" s="594" t="s">
        <v>4</v>
      </c>
      <c r="D29" s="595"/>
      <c r="E29" s="596"/>
      <c r="F29" s="594" t="s">
        <v>7</v>
      </c>
      <c r="G29" s="595"/>
      <c r="H29" s="596"/>
      <c r="I29" s="594" t="s">
        <v>55</v>
      </c>
      <c r="J29" s="596"/>
      <c r="K29" s="577" t="s">
        <v>8</v>
      </c>
      <c r="L29" s="578"/>
      <c r="M29" s="579"/>
      <c r="N29" s="594" t="s">
        <v>54</v>
      </c>
      <c r="O29" s="595"/>
      <c r="P29" s="595"/>
      <c r="Q29" s="595"/>
      <c r="R29" s="596"/>
      <c r="S29" s="594" t="s">
        <v>56</v>
      </c>
      <c r="T29" s="595"/>
      <c r="U29" s="595"/>
      <c r="V29" s="595"/>
      <c r="W29" s="596"/>
    </row>
    <row r="30" spans="1:26" ht="50.1" customHeight="1">
      <c r="A30" s="608"/>
      <c r="B30" s="610"/>
      <c r="C30" s="613" t="s">
        <v>45</v>
      </c>
      <c r="D30" s="574" t="s">
        <v>46</v>
      </c>
      <c r="E30" s="616" t="s">
        <v>47</v>
      </c>
      <c r="F30" s="613" t="s">
        <v>49</v>
      </c>
      <c r="G30" s="574" t="s">
        <v>50</v>
      </c>
      <c r="H30" s="605" t="s">
        <v>51</v>
      </c>
      <c r="I30" s="601" t="s">
        <v>261</v>
      </c>
      <c r="J30" s="603" t="s">
        <v>262</v>
      </c>
      <c r="K30" s="614" t="s">
        <v>81</v>
      </c>
      <c r="L30" s="575" t="s">
        <v>53</v>
      </c>
      <c r="M30" s="611" t="s">
        <v>52</v>
      </c>
      <c r="N30" s="419" t="s">
        <v>82</v>
      </c>
      <c r="O30" s="36" t="s">
        <v>87</v>
      </c>
      <c r="P30" s="36" t="s">
        <v>88</v>
      </c>
      <c r="Q30" s="36" t="s">
        <v>89</v>
      </c>
      <c r="R30" s="420" t="s">
        <v>90</v>
      </c>
      <c r="S30" s="419" t="s">
        <v>82</v>
      </c>
      <c r="T30" s="36" t="s">
        <v>87</v>
      </c>
      <c r="U30" s="36" t="s">
        <v>88</v>
      </c>
      <c r="V30" s="36" t="s">
        <v>89</v>
      </c>
      <c r="W30" s="420" t="s">
        <v>90</v>
      </c>
    </row>
    <row r="31" spans="1:26" ht="14.25" customHeight="1">
      <c r="A31" s="608"/>
      <c r="B31" s="610"/>
      <c r="C31" s="613"/>
      <c r="D31" s="574"/>
      <c r="E31" s="616"/>
      <c r="F31" s="613"/>
      <c r="G31" s="574"/>
      <c r="H31" s="606"/>
      <c r="I31" s="601"/>
      <c r="J31" s="603"/>
      <c r="K31" s="615"/>
      <c r="L31" s="576"/>
      <c r="M31" s="612"/>
      <c r="N31" s="37">
        <v>-5</v>
      </c>
      <c r="O31" s="38">
        <v>5</v>
      </c>
      <c r="P31" s="38">
        <v>20</v>
      </c>
      <c r="Q31" s="38">
        <v>50</v>
      </c>
      <c r="R31" s="39">
        <v>80</v>
      </c>
      <c r="S31" s="37">
        <v>-5</v>
      </c>
      <c r="T31" s="38">
        <v>5</v>
      </c>
      <c r="U31" s="38">
        <v>20</v>
      </c>
      <c r="V31" s="38">
        <v>50</v>
      </c>
      <c r="W31" s="39">
        <v>80</v>
      </c>
    </row>
    <row r="32" spans="1:26" ht="15" customHeight="1">
      <c r="A32" s="40" t="s">
        <v>33</v>
      </c>
      <c r="B32" s="41" t="s">
        <v>5</v>
      </c>
      <c r="C32" s="74" t="s">
        <v>43</v>
      </c>
      <c r="D32" s="75" t="s">
        <v>43</v>
      </c>
      <c r="E32" s="76" t="s">
        <v>43</v>
      </c>
      <c r="F32" s="40" t="s">
        <v>5</v>
      </c>
      <c r="G32" s="42" t="s">
        <v>5</v>
      </c>
      <c r="H32" s="41" t="s">
        <v>5</v>
      </c>
      <c r="I32" s="602"/>
      <c r="J32" s="604"/>
      <c r="K32" s="74" t="s">
        <v>43</v>
      </c>
      <c r="L32" s="86" t="s">
        <v>43</v>
      </c>
      <c r="M32" s="396" t="s">
        <v>258</v>
      </c>
      <c r="N32" s="64" t="s">
        <v>25</v>
      </c>
      <c r="O32" s="65" t="s">
        <v>25</v>
      </c>
      <c r="P32" s="65" t="s">
        <v>25</v>
      </c>
      <c r="Q32" s="65" t="s">
        <v>25</v>
      </c>
      <c r="R32" s="66" t="s">
        <v>25</v>
      </c>
      <c r="S32" s="40" t="s">
        <v>60</v>
      </c>
      <c r="T32" s="42" t="s">
        <v>60</v>
      </c>
      <c r="U32" s="42" t="s">
        <v>60</v>
      </c>
      <c r="V32" s="42" t="s">
        <v>60</v>
      </c>
      <c r="W32" s="41" t="s">
        <v>60</v>
      </c>
      <c r="Y32" s="617"/>
      <c r="Z32" s="619" t="s">
        <v>35</v>
      </c>
    </row>
    <row r="33" spans="1:26">
      <c r="A33" s="29">
        <v>7</v>
      </c>
      <c r="B33" s="30">
        <f>(180/12)*ABS(12-A33)</f>
        <v>75</v>
      </c>
      <c r="C33" s="77">
        <v>69.400772849100676</v>
      </c>
      <c r="D33" s="78">
        <v>50.473289344800492</v>
      </c>
      <c r="E33" s="79">
        <v>119.87406219390115</v>
      </c>
      <c r="F33" s="29">
        <f>B33</f>
        <v>75</v>
      </c>
      <c r="G33" s="15">
        <f>B33</f>
        <v>75</v>
      </c>
      <c r="H33" s="30">
        <v>0</v>
      </c>
      <c r="I33" s="48">
        <f t="shared" ref="I33:I43" si="14">I14</f>
        <v>0</v>
      </c>
      <c r="J33" s="49">
        <f>'Diffuse Modifier (Numerical)'!$B$13</f>
        <v>0</v>
      </c>
      <c r="K33" s="45">
        <f>($C33*$I33)+($D33*$J33)</f>
        <v>0</v>
      </c>
      <c r="L33" s="84">
        <f t="shared" ref="L33:L43" si="15">$L$3</f>
        <v>-71</v>
      </c>
      <c r="M33" s="399">
        <f>K33+L33</f>
        <v>-71</v>
      </c>
      <c r="N33" s="68">
        <f t="shared" ref="N33:R43" si="16">$B$2*(1-($B$3*$L$6))-($B$4+($B$5*$L$6))*(N$12/$M33)</f>
        <v>0</v>
      </c>
      <c r="O33" s="69">
        <f t="shared" si="16"/>
        <v>0</v>
      </c>
      <c r="P33" s="69">
        <f t="shared" si="16"/>
        <v>0</v>
      </c>
      <c r="Q33" s="69">
        <f t="shared" si="16"/>
        <v>0</v>
      </c>
      <c r="R33" s="70">
        <f t="shared" si="16"/>
        <v>0</v>
      </c>
      <c r="S33" s="338">
        <f>IF(N33*$M33&gt;0,N33*$M33,0)</f>
        <v>0</v>
      </c>
      <c r="T33" s="339">
        <f t="shared" ref="T33:T43" si="17">IF(O33*$M33&gt;0,O33*$M33,0)</f>
        <v>0</v>
      </c>
      <c r="U33" s="339">
        <f t="shared" ref="U33:U43" si="18">IF(P33*$M33&gt;0,P33*$M33,0)</f>
        <v>0</v>
      </c>
      <c r="V33" s="339">
        <f t="shared" ref="V33:V43" si="19">IF(Q33*$M33&gt;0,Q33*$M33,0)</f>
        <v>0</v>
      </c>
      <c r="W33" s="340">
        <f t="shared" ref="W33:W43" si="20">IF(R33*$M33&gt;0,R33*$M33,0)</f>
        <v>0</v>
      </c>
      <c r="Y33" s="617"/>
      <c r="Z33" s="620"/>
    </row>
    <row r="34" spans="1:26" ht="15" customHeight="1">
      <c r="A34" s="29">
        <v>8</v>
      </c>
      <c r="B34" s="30">
        <f>(180/12)*ABS(12-A34)</f>
        <v>60</v>
      </c>
      <c r="C34" s="77">
        <v>170.34735153870164</v>
      </c>
      <c r="D34" s="78">
        <v>97.791998105550945</v>
      </c>
      <c r="E34" s="79">
        <v>268.1393496442526</v>
      </c>
      <c r="F34" s="29">
        <f t="shared" ref="F34:F43" si="21">B34</f>
        <v>60</v>
      </c>
      <c r="G34" s="15">
        <f t="shared" ref="G34:G43" si="22">B34</f>
        <v>60</v>
      </c>
      <c r="H34" s="30">
        <v>0</v>
      </c>
      <c r="I34" s="27">
        <f t="shared" si="14"/>
        <v>0</v>
      </c>
      <c r="J34" s="43">
        <f>'Diffuse Modifier (Numerical)'!$B$13</f>
        <v>0</v>
      </c>
      <c r="K34" s="45">
        <f t="shared" ref="K34:K43" si="23">($C34*$I34)+($D34*$J34)</f>
        <v>0</v>
      </c>
      <c r="L34" s="25">
        <f t="shared" si="15"/>
        <v>-71</v>
      </c>
      <c r="M34" s="399">
        <f t="shared" ref="M34:M43" si="24">K34+L34</f>
        <v>-71</v>
      </c>
      <c r="N34" s="21">
        <f t="shared" si="16"/>
        <v>0</v>
      </c>
      <c r="O34" s="22">
        <f t="shared" si="16"/>
        <v>0</v>
      </c>
      <c r="P34" s="22">
        <f t="shared" si="16"/>
        <v>0</v>
      </c>
      <c r="Q34" s="22">
        <f t="shared" si="16"/>
        <v>0</v>
      </c>
      <c r="R34" s="23">
        <f t="shared" si="16"/>
        <v>0</v>
      </c>
      <c r="S34" s="336">
        <f t="shared" ref="S34:S43" si="25">IF(N34*$M34&gt;0,N34*$M34,0)</f>
        <v>0</v>
      </c>
      <c r="T34" s="24">
        <f t="shared" si="17"/>
        <v>0</v>
      </c>
      <c r="U34" s="24">
        <f t="shared" si="18"/>
        <v>0</v>
      </c>
      <c r="V34" s="24">
        <f t="shared" si="19"/>
        <v>0</v>
      </c>
      <c r="W34" s="337">
        <f t="shared" si="20"/>
        <v>0</v>
      </c>
      <c r="Y34" s="617"/>
      <c r="Z34" s="621" t="s">
        <v>31</v>
      </c>
    </row>
    <row r="35" spans="1:26">
      <c r="A35" s="29">
        <v>9</v>
      </c>
      <c r="B35" s="30">
        <f t="shared" ref="B35:B43" si="26">(180/12)*ABS(12-A35)</f>
        <v>45</v>
      </c>
      <c r="C35" s="77">
        <v>283.91225256450275</v>
      </c>
      <c r="D35" s="78">
        <v>138.80154569820135</v>
      </c>
      <c r="E35" s="79">
        <v>422.71379826270413</v>
      </c>
      <c r="F35" s="29">
        <f t="shared" si="21"/>
        <v>45</v>
      </c>
      <c r="G35" s="15">
        <f t="shared" si="22"/>
        <v>45</v>
      </c>
      <c r="H35" s="30">
        <v>0</v>
      </c>
      <c r="I35" s="27">
        <f t="shared" si="14"/>
        <v>0</v>
      </c>
      <c r="J35" s="43">
        <f>'Diffuse Modifier (Numerical)'!$B$13</f>
        <v>0</v>
      </c>
      <c r="K35" s="45">
        <f t="shared" si="23"/>
        <v>0</v>
      </c>
      <c r="L35" s="25">
        <f t="shared" si="15"/>
        <v>-71</v>
      </c>
      <c r="M35" s="399">
        <f t="shared" si="24"/>
        <v>-71</v>
      </c>
      <c r="N35" s="21">
        <f t="shared" si="16"/>
        <v>0</v>
      </c>
      <c r="O35" s="22">
        <f t="shared" si="16"/>
        <v>0</v>
      </c>
      <c r="P35" s="22">
        <f t="shared" si="16"/>
        <v>0</v>
      </c>
      <c r="Q35" s="22">
        <f t="shared" si="16"/>
        <v>0</v>
      </c>
      <c r="R35" s="23">
        <f t="shared" si="16"/>
        <v>0</v>
      </c>
      <c r="S35" s="336">
        <f t="shared" si="25"/>
        <v>0</v>
      </c>
      <c r="T35" s="24">
        <f t="shared" si="17"/>
        <v>0</v>
      </c>
      <c r="U35" s="24">
        <f t="shared" si="18"/>
        <v>0</v>
      </c>
      <c r="V35" s="24">
        <f t="shared" si="19"/>
        <v>0</v>
      </c>
      <c r="W35" s="337">
        <f t="shared" si="20"/>
        <v>0</v>
      </c>
      <c r="Y35" s="617"/>
      <c r="Z35" s="622"/>
    </row>
    <row r="36" spans="1:26" ht="15" customHeight="1">
      <c r="A36" s="29">
        <v>10</v>
      </c>
      <c r="B36" s="30">
        <f t="shared" si="26"/>
        <v>30</v>
      </c>
      <c r="C36" s="77">
        <v>388.01341183815379</v>
      </c>
      <c r="D36" s="78">
        <v>170.34735153870164</v>
      </c>
      <c r="E36" s="79">
        <v>558.3607633768554</v>
      </c>
      <c r="F36" s="29">
        <f t="shared" si="21"/>
        <v>30</v>
      </c>
      <c r="G36" s="15">
        <f t="shared" si="22"/>
        <v>30</v>
      </c>
      <c r="H36" s="30">
        <v>0</v>
      </c>
      <c r="I36" s="27">
        <f t="shared" si="14"/>
        <v>0</v>
      </c>
      <c r="J36" s="43">
        <f>'Diffuse Modifier (Numerical)'!$B$13</f>
        <v>0</v>
      </c>
      <c r="K36" s="45">
        <f t="shared" si="23"/>
        <v>0</v>
      </c>
      <c r="L36" s="25">
        <f t="shared" si="15"/>
        <v>-71</v>
      </c>
      <c r="M36" s="399">
        <f t="shared" si="24"/>
        <v>-71</v>
      </c>
      <c r="N36" s="21">
        <f t="shared" si="16"/>
        <v>0</v>
      </c>
      <c r="O36" s="22">
        <f t="shared" si="16"/>
        <v>0</v>
      </c>
      <c r="P36" s="22">
        <f t="shared" si="16"/>
        <v>0</v>
      </c>
      <c r="Q36" s="22">
        <f t="shared" si="16"/>
        <v>0</v>
      </c>
      <c r="R36" s="23">
        <f t="shared" si="16"/>
        <v>0</v>
      </c>
      <c r="S36" s="336">
        <f t="shared" si="25"/>
        <v>0</v>
      </c>
      <c r="T36" s="24">
        <f t="shared" si="17"/>
        <v>0</v>
      </c>
      <c r="U36" s="24">
        <f t="shared" si="18"/>
        <v>0</v>
      </c>
      <c r="V36" s="24">
        <f t="shared" si="19"/>
        <v>0</v>
      </c>
      <c r="W36" s="337">
        <f t="shared" si="20"/>
        <v>0</v>
      </c>
      <c r="Y36" s="617"/>
      <c r="Z36" s="93" t="s">
        <v>57</v>
      </c>
    </row>
    <row r="37" spans="1:26" ht="17.25">
      <c r="A37" s="29">
        <v>11</v>
      </c>
      <c r="B37" s="30">
        <f t="shared" si="26"/>
        <v>15</v>
      </c>
      <c r="C37" s="77">
        <v>460.56876527130453</v>
      </c>
      <c r="D37" s="78">
        <v>192.42941562705187</v>
      </c>
      <c r="E37" s="79">
        <v>652.99818089835628</v>
      </c>
      <c r="F37" s="29">
        <f t="shared" si="21"/>
        <v>15</v>
      </c>
      <c r="G37" s="15">
        <f t="shared" si="22"/>
        <v>15</v>
      </c>
      <c r="H37" s="30">
        <v>0</v>
      </c>
      <c r="I37" s="27">
        <f t="shared" si="14"/>
        <v>0</v>
      </c>
      <c r="J37" s="43">
        <f>'Diffuse Modifier (Numerical)'!$B$13</f>
        <v>0</v>
      </c>
      <c r="K37" s="45">
        <f t="shared" si="23"/>
        <v>0</v>
      </c>
      <c r="L37" s="25">
        <f t="shared" si="15"/>
        <v>-71</v>
      </c>
      <c r="M37" s="399">
        <f t="shared" si="24"/>
        <v>-71</v>
      </c>
      <c r="N37" s="21">
        <f t="shared" si="16"/>
        <v>0</v>
      </c>
      <c r="O37" s="22">
        <f t="shared" si="16"/>
        <v>0</v>
      </c>
      <c r="P37" s="22">
        <f t="shared" si="16"/>
        <v>0</v>
      </c>
      <c r="Q37" s="22">
        <f t="shared" si="16"/>
        <v>0</v>
      </c>
      <c r="R37" s="23">
        <f t="shared" si="16"/>
        <v>0</v>
      </c>
      <c r="S37" s="336">
        <f t="shared" si="25"/>
        <v>0</v>
      </c>
      <c r="T37" s="24">
        <f t="shared" si="17"/>
        <v>0</v>
      </c>
      <c r="U37" s="24">
        <f t="shared" si="18"/>
        <v>0</v>
      </c>
      <c r="V37" s="24">
        <f t="shared" si="19"/>
        <v>0</v>
      </c>
      <c r="W37" s="337">
        <f t="shared" si="20"/>
        <v>0</v>
      </c>
      <c r="Y37" s="617"/>
      <c r="Z37" s="333" t="s">
        <v>58</v>
      </c>
    </row>
    <row r="38" spans="1:26" ht="17.25">
      <c r="A38" s="29">
        <v>12</v>
      </c>
      <c r="B38" s="30">
        <f t="shared" si="26"/>
        <v>0</v>
      </c>
      <c r="C38" s="77">
        <v>488.95999052775471</v>
      </c>
      <c r="D38" s="78">
        <v>198.73857679515194</v>
      </c>
      <c r="E38" s="79">
        <v>687.69856732290668</v>
      </c>
      <c r="F38" s="29">
        <f t="shared" si="21"/>
        <v>0</v>
      </c>
      <c r="G38" s="15">
        <f t="shared" si="22"/>
        <v>0</v>
      </c>
      <c r="H38" s="30">
        <v>0</v>
      </c>
      <c r="I38" s="27">
        <f t="shared" si="14"/>
        <v>1</v>
      </c>
      <c r="J38" s="43">
        <f>'Diffuse Modifier (Numerical)'!$B$13</f>
        <v>0</v>
      </c>
      <c r="K38" s="45">
        <f t="shared" si="23"/>
        <v>488.95999052775471</v>
      </c>
      <c r="L38" s="25">
        <f t="shared" si="15"/>
        <v>-71</v>
      </c>
      <c r="M38" s="399">
        <f t="shared" si="24"/>
        <v>417.95999052775471</v>
      </c>
      <c r="N38" s="21">
        <f t="shared" si="16"/>
        <v>0</v>
      </c>
      <c r="O38" s="22">
        <f t="shared" si="16"/>
        <v>0</v>
      </c>
      <c r="P38" s="22">
        <f t="shared" si="16"/>
        <v>0</v>
      </c>
      <c r="Q38" s="22">
        <f t="shared" si="16"/>
        <v>0</v>
      </c>
      <c r="R38" s="23">
        <f t="shared" si="16"/>
        <v>0</v>
      </c>
      <c r="S38" s="336">
        <f t="shared" si="25"/>
        <v>0</v>
      </c>
      <c r="T38" s="24">
        <f t="shared" si="17"/>
        <v>0</v>
      </c>
      <c r="U38" s="24">
        <f t="shared" si="18"/>
        <v>0</v>
      </c>
      <c r="V38" s="24">
        <f t="shared" si="19"/>
        <v>0</v>
      </c>
      <c r="W38" s="337">
        <f t="shared" si="20"/>
        <v>0</v>
      </c>
      <c r="Y38" s="618"/>
      <c r="Z38" s="91" t="s">
        <v>59</v>
      </c>
    </row>
    <row r="39" spans="1:26">
      <c r="A39" s="29">
        <v>13</v>
      </c>
      <c r="B39" s="30">
        <f t="shared" si="26"/>
        <v>15</v>
      </c>
      <c r="C39" s="77">
        <v>460.56876527130453</v>
      </c>
      <c r="D39" s="78">
        <v>192.42941562705187</v>
      </c>
      <c r="E39" s="79">
        <v>652.99818089835628</v>
      </c>
      <c r="F39" s="29">
        <f t="shared" si="21"/>
        <v>15</v>
      </c>
      <c r="G39" s="15">
        <f t="shared" si="22"/>
        <v>15</v>
      </c>
      <c r="H39" s="30">
        <v>0</v>
      </c>
      <c r="I39" s="27">
        <f t="shared" si="14"/>
        <v>0</v>
      </c>
      <c r="J39" s="43">
        <f>'Diffuse Modifier (Numerical)'!$B$13</f>
        <v>0</v>
      </c>
      <c r="K39" s="45">
        <f t="shared" si="23"/>
        <v>0</v>
      </c>
      <c r="L39" s="25">
        <f t="shared" si="15"/>
        <v>-71</v>
      </c>
      <c r="M39" s="399">
        <f t="shared" si="24"/>
        <v>-71</v>
      </c>
      <c r="N39" s="21">
        <f t="shared" si="16"/>
        <v>0</v>
      </c>
      <c r="O39" s="22">
        <f t="shared" si="16"/>
        <v>0</v>
      </c>
      <c r="P39" s="22">
        <f t="shared" si="16"/>
        <v>0</v>
      </c>
      <c r="Q39" s="22">
        <f t="shared" si="16"/>
        <v>0</v>
      </c>
      <c r="R39" s="23">
        <f t="shared" si="16"/>
        <v>0</v>
      </c>
      <c r="S39" s="336">
        <f t="shared" si="25"/>
        <v>0</v>
      </c>
      <c r="T39" s="24">
        <f t="shared" si="17"/>
        <v>0</v>
      </c>
      <c r="U39" s="24">
        <f t="shared" si="18"/>
        <v>0</v>
      </c>
      <c r="V39" s="24">
        <f t="shared" si="19"/>
        <v>0</v>
      </c>
      <c r="W39" s="337">
        <f t="shared" si="20"/>
        <v>0</v>
      </c>
      <c r="Y39" s="26" t="s">
        <v>26</v>
      </c>
      <c r="Z39" s="47">
        <f>S44/1000</f>
        <v>0</v>
      </c>
    </row>
    <row r="40" spans="1:26">
      <c r="A40" s="29">
        <v>14</v>
      </c>
      <c r="B40" s="30">
        <f t="shared" si="26"/>
        <v>30</v>
      </c>
      <c r="C40" s="77">
        <v>388.01341183815379</v>
      </c>
      <c r="D40" s="78">
        <v>170.34735153870164</v>
      </c>
      <c r="E40" s="79">
        <v>558.3607633768554</v>
      </c>
      <c r="F40" s="29">
        <f t="shared" si="21"/>
        <v>30</v>
      </c>
      <c r="G40" s="15">
        <f t="shared" si="22"/>
        <v>30</v>
      </c>
      <c r="H40" s="30">
        <v>0</v>
      </c>
      <c r="I40" s="27">
        <f t="shared" si="14"/>
        <v>0</v>
      </c>
      <c r="J40" s="43">
        <f>'Diffuse Modifier (Numerical)'!$B$13</f>
        <v>0</v>
      </c>
      <c r="K40" s="45">
        <f t="shared" si="23"/>
        <v>0</v>
      </c>
      <c r="L40" s="25">
        <f t="shared" si="15"/>
        <v>-71</v>
      </c>
      <c r="M40" s="399">
        <f t="shared" si="24"/>
        <v>-71</v>
      </c>
      <c r="N40" s="21">
        <f t="shared" si="16"/>
        <v>0</v>
      </c>
      <c r="O40" s="22">
        <f t="shared" si="16"/>
        <v>0</v>
      </c>
      <c r="P40" s="22">
        <f t="shared" si="16"/>
        <v>0</v>
      </c>
      <c r="Q40" s="22">
        <f t="shared" si="16"/>
        <v>0</v>
      </c>
      <c r="R40" s="23">
        <f t="shared" si="16"/>
        <v>0</v>
      </c>
      <c r="S40" s="336">
        <f t="shared" si="25"/>
        <v>0</v>
      </c>
      <c r="T40" s="24">
        <f t="shared" si="17"/>
        <v>0</v>
      </c>
      <c r="U40" s="24">
        <f t="shared" si="18"/>
        <v>0</v>
      </c>
      <c r="V40" s="24">
        <f t="shared" si="19"/>
        <v>0</v>
      </c>
      <c r="W40" s="337">
        <f t="shared" si="20"/>
        <v>0</v>
      </c>
      <c r="Y40" s="26" t="s">
        <v>27</v>
      </c>
      <c r="Z40" s="46">
        <f>T44/1000</f>
        <v>0</v>
      </c>
    </row>
    <row r="41" spans="1:26">
      <c r="A41" s="29">
        <v>15</v>
      </c>
      <c r="B41" s="30">
        <f t="shared" si="26"/>
        <v>45</v>
      </c>
      <c r="C41" s="77">
        <v>283.91225256450275</v>
      </c>
      <c r="D41" s="78">
        <v>138.80154569820135</v>
      </c>
      <c r="E41" s="79">
        <v>422.71379826270413</v>
      </c>
      <c r="F41" s="29">
        <f t="shared" si="21"/>
        <v>45</v>
      </c>
      <c r="G41" s="15">
        <f t="shared" si="22"/>
        <v>45</v>
      </c>
      <c r="H41" s="30">
        <v>0</v>
      </c>
      <c r="I41" s="27">
        <f t="shared" si="14"/>
        <v>0</v>
      </c>
      <c r="J41" s="43">
        <f>'Diffuse Modifier (Numerical)'!$B$13</f>
        <v>0</v>
      </c>
      <c r="K41" s="45">
        <f t="shared" si="23"/>
        <v>0</v>
      </c>
      <c r="L41" s="25">
        <f t="shared" si="15"/>
        <v>-71</v>
      </c>
      <c r="M41" s="399">
        <f t="shared" si="24"/>
        <v>-71</v>
      </c>
      <c r="N41" s="21">
        <f t="shared" si="16"/>
        <v>0</v>
      </c>
      <c r="O41" s="22">
        <f t="shared" si="16"/>
        <v>0</v>
      </c>
      <c r="P41" s="22">
        <f t="shared" si="16"/>
        <v>0</v>
      </c>
      <c r="Q41" s="22">
        <f t="shared" si="16"/>
        <v>0</v>
      </c>
      <c r="R41" s="23">
        <f t="shared" si="16"/>
        <v>0</v>
      </c>
      <c r="S41" s="336">
        <f t="shared" si="25"/>
        <v>0</v>
      </c>
      <c r="T41" s="24">
        <f t="shared" si="17"/>
        <v>0</v>
      </c>
      <c r="U41" s="24">
        <f t="shared" si="18"/>
        <v>0</v>
      </c>
      <c r="V41" s="24">
        <f t="shared" si="19"/>
        <v>0</v>
      </c>
      <c r="W41" s="337">
        <f t="shared" si="20"/>
        <v>0</v>
      </c>
      <c r="Y41" s="26" t="s">
        <v>28</v>
      </c>
      <c r="Z41" s="46">
        <f>U44/1000</f>
        <v>0</v>
      </c>
    </row>
    <row r="42" spans="1:26">
      <c r="A42" s="29">
        <v>16</v>
      </c>
      <c r="B42" s="30">
        <f t="shared" si="26"/>
        <v>60</v>
      </c>
      <c r="C42" s="77">
        <v>170.34735153870164</v>
      </c>
      <c r="D42" s="78">
        <v>97.791998105550945</v>
      </c>
      <c r="E42" s="79">
        <v>268.1393496442526</v>
      </c>
      <c r="F42" s="29">
        <f t="shared" si="21"/>
        <v>60</v>
      </c>
      <c r="G42" s="15">
        <f t="shared" si="22"/>
        <v>60</v>
      </c>
      <c r="H42" s="30">
        <v>0</v>
      </c>
      <c r="I42" s="27">
        <f t="shared" si="14"/>
        <v>0</v>
      </c>
      <c r="J42" s="43">
        <f>'Diffuse Modifier (Numerical)'!$B$13</f>
        <v>0</v>
      </c>
      <c r="K42" s="45">
        <f t="shared" si="23"/>
        <v>0</v>
      </c>
      <c r="L42" s="25">
        <f t="shared" si="15"/>
        <v>-71</v>
      </c>
      <c r="M42" s="399">
        <f t="shared" si="24"/>
        <v>-71</v>
      </c>
      <c r="N42" s="21">
        <f t="shared" si="16"/>
        <v>0</v>
      </c>
      <c r="O42" s="22">
        <f t="shared" si="16"/>
        <v>0</v>
      </c>
      <c r="P42" s="22">
        <f t="shared" si="16"/>
        <v>0</v>
      </c>
      <c r="Q42" s="22">
        <f t="shared" si="16"/>
        <v>0</v>
      </c>
      <c r="R42" s="23">
        <f t="shared" si="16"/>
        <v>0</v>
      </c>
      <c r="S42" s="336">
        <f t="shared" si="25"/>
        <v>0</v>
      </c>
      <c r="T42" s="24">
        <f t="shared" si="17"/>
        <v>0</v>
      </c>
      <c r="U42" s="24">
        <f t="shared" si="18"/>
        <v>0</v>
      </c>
      <c r="V42" s="24">
        <f t="shared" si="19"/>
        <v>0</v>
      </c>
      <c r="W42" s="337">
        <f t="shared" si="20"/>
        <v>0</v>
      </c>
      <c r="Y42" s="26" t="s">
        <v>29</v>
      </c>
      <c r="Z42" s="46">
        <f>V44/1000</f>
        <v>0</v>
      </c>
    </row>
    <row r="43" spans="1:26">
      <c r="A43" s="29">
        <v>17</v>
      </c>
      <c r="B43" s="30">
        <f t="shared" si="26"/>
        <v>75</v>
      </c>
      <c r="C43" s="77">
        <v>69.400772849100676</v>
      </c>
      <c r="D43" s="78">
        <v>50.473289344800492</v>
      </c>
      <c r="E43" s="79">
        <v>119.87406219390115</v>
      </c>
      <c r="F43" s="29">
        <f t="shared" si="21"/>
        <v>75</v>
      </c>
      <c r="G43" s="15">
        <f t="shared" si="22"/>
        <v>75</v>
      </c>
      <c r="H43" s="30">
        <v>0</v>
      </c>
      <c r="I43" s="28">
        <f t="shared" si="14"/>
        <v>0</v>
      </c>
      <c r="J43" s="50">
        <f>'Diffuse Modifier (Numerical)'!$B$13</f>
        <v>0</v>
      </c>
      <c r="K43" s="45">
        <f t="shared" si="23"/>
        <v>0</v>
      </c>
      <c r="L43" s="85">
        <f t="shared" si="15"/>
        <v>-71</v>
      </c>
      <c r="M43" s="399">
        <f t="shared" si="24"/>
        <v>-71</v>
      </c>
      <c r="N43" s="71">
        <f t="shared" si="16"/>
        <v>0</v>
      </c>
      <c r="O43" s="72">
        <f t="shared" si="16"/>
        <v>0</v>
      </c>
      <c r="P43" s="72">
        <f t="shared" si="16"/>
        <v>0</v>
      </c>
      <c r="Q43" s="72">
        <f t="shared" si="16"/>
        <v>0</v>
      </c>
      <c r="R43" s="73">
        <f t="shared" si="16"/>
        <v>0</v>
      </c>
      <c r="S43" s="336">
        <f t="shared" si="25"/>
        <v>0</v>
      </c>
      <c r="T43" s="24">
        <f t="shared" si="17"/>
        <v>0</v>
      </c>
      <c r="U43" s="24">
        <f t="shared" si="18"/>
        <v>0</v>
      </c>
      <c r="V43" s="24">
        <f t="shared" si="19"/>
        <v>0</v>
      </c>
      <c r="W43" s="337">
        <f t="shared" si="20"/>
        <v>0</v>
      </c>
      <c r="Y43" s="26" t="s">
        <v>30</v>
      </c>
      <c r="Z43" s="46">
        <f>W44/1000</f>
        <v>0</v>
      </c>
    </row>
    <row r="44" spans="1:26">
      <c r="A44" s="599" t="s">
        <v>44</v>
      </c>
      <c r="B44" s="600"/>
      <c r="C44" s="80">
        <f>SUM(C33:C43)</f>
        <v>3233.4450986512816</v>
      </c>
      <c r="D44" s="81">
        <f>SUM(D33:D43)</f>
        <v>1498.4257774237644</v>
      </c>
      <c r="E44" s="82">
        <f>SUM(E33:E43)</f>
        <v>4731.8708760750451</v>
      </c>
      <c r="F44" s="31"/>
      <c r="G44" s="32"/>
      <c r="H44" s="33"/>
      <c r="I44" s="34"/>
      <c r="J44" s="35"/>
      <c r="K44" s="31">
        <f t="shared" ref="K44:M44" si="27">SUM(K33:K43)</f>
        <v>488.95999052775471</v>
      </c>
      <c r="L44" s="32">
        <f t="shared" si="27"/>
        <v>-781</v>
      </c>
      <c r="M44" s="400">
        <f t="shared" si="27"/>
        <v>-292.04000947224529</v>
      </c>
      <c r="N44" s="34"/>
      <c r="O44" s="67"/>
      <c r="P44" s="67"/>
      <c r="Q44" s="67"/>
      <c r="R44" s="35"/>
      <c r="S44" s="31">
        <f>SUM(S33:S43)</f>
        <v>0</v>
      </c>
      <c r="T44" s="32">
        <f t="shared" ref="T44:W44" si="28">SUM(T33:T43)</f>
        <v>0</v>
      </c>
      <c r="U44" s="32">
        <f t="shared" si="28"/>
        <v>0</v>
      </c>
      <c r="V44" s="32">
        <f t="shared" si="28"/>
        <v>0</v>
      </c>
      <c r="W44" s="33">
        <f t="shared" si="28"/>
        <v>0</v>
      </c>
    </row>
    <row r="45" spans="1:26">
      <c r="A45" s="1"/>
      <c r="B45" s="1"/>
      <c r="C45" s="1"/>
      <c r="D45" s="1"/>
      <c r="E45" s="1"/>
      <c r="F45" s="1"/>
      <c r="G45" s="1"/>
      <c r="H45" s="1"/>
      <c r="I45" s="56"/>
      <c r="J45" s="56"/>
      <c r="N45" s="56"/>
      <c r="O45" s="56"/>
      <c r="P45" s="56"/>
      <c r="Q45" s="56"/>
      <c r="R45" s="87" t="s">
        <v>25</v>
      </c>
      <c r="S45" s="88">
        <f>S44/$M44</f>
        <v>0</v>
      </c>
      <c r="T45" s="89">
        <f>T44/$M44</f>
        <v>0</v>
      </c>
      <c r="U45" s="89">
        <f>U44/$M44</f>
        <v>0</v>
      </c>
      <c r="V45" s="89">
        <f>V44/$M44</f>
        <v>0</v>
      </c>
      <c r="W45" s="90">
        <f>W44/$M44</f>
        <v>0</v>
      </c>
    </row>
    <row r="46" spans="1:26">
      <c r="R46" s="19"/>
      <c r="S46" s="20"/>
      <c r="T46" s="20"/>
      <c r="U46" s="20"/>
      <c r="V46" s="20"/>
      <c r="W46" s="20"/>
    </row>
    <row r="47" spans="1:26" ht="18.75">
      <c r="A47" s="588" t="s">
        <v>0</v>
      </c>
      <c r="B47" s="589"/>
      <c r="C47" s="589"/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  <c r="W47" s="589"/>
    </row>
    <row r="48" spans="1:26" ht="15" customHeight="1">
      <c r="A48" s="607" t="s">
        <v>1</v>
      </c>
      <c r="B48" s="609" t="s">
        <v>48</v>
      </c>
      <c r="C48" s="594" t="s">
        <v>4</v>
      </c>
      <c r="D48" s="595"/>
      <c r="E48" s="596"/>
      <c r="F48" s="594" t="s">
        <v>7</v>
      </c>
      <c r="G48" s="595"/>
      <c r="H48" s="596"/>
      <c r="I48" s="594" t="s">
        <v>55</v>
      </c>
      <c r="J48" s="596"/>
      <c r="K48" s="577" t="s">
        <v>8</v>
      </c>
      <c r="L48" s="578"/>
      <c r="M48" s="579"/>
      <c r="N48" s="594" t="s">
        <v>54</v>
      </c>
      <c r="O48" s="595"/>
      <c r="P48" s="595"/>
      <c r="Q48" s="595"/>
      <c r="R48" s="596"/>
      <c r="S48" s="594" t="s">
        <v>56</v>
      </c>
      <c r="T48" s="595"/>
      <c r="U48" s="595"/>
      <c r="V48" s="595"/>
      <c r="W48" s="596"/>
    </row>
    <row r="49" spans="1:26" ht="50.1" customHeight="1">
      <c r="A49" s="608"/>
      <c r="B49" s="610"/>
      <c r="C49" s="613" t="s">
        <v>45</v>
      </c>
      <c r="D49" s="574" t="s">
        <v>46</v>
      </c>
      <c r="E49" s="616" t="s">
        <v>47</v>
      </c>
      <c r="F49" s="613" t="s">
        <v>49</v>
      </c>
      <c r="G49" s="574" t="s">
        <v>50</v>
      </c>
      <c r="H49" s="605" t="s">
        <v>51</v>
      </c>
      <c r="I49" s="601" t="s">
        <v>261</v>
      </c>
      <c r="J49" s="603" t="s">
        <v>262</v>
      </c>
      <c r="K49" s="614" t="s">
        <v>81</v>
      </c>
      <c r="L49" s="575" t="s">
        <v>53</v>
      </c>
      <c r="M49" s="611" t="s">
        <v>52</v>
      </c>
      <c r="N49" s="419" t="s">
        <v>82</v>
      </c>
      <c r="O49" s="36" t="s">
        <v>87</v>
      </c>
      <c r="P49" s="36" t="s">
        <v>88</v>
      </c>
      <c r="Q49" s="36" t="s">
        <v>89</v>
      </c>
      <c r="R49" s="420" t="s">
        <v>90</v>
      </c>
      <c r="S49" s="419" t="s">
        <v>82</v>
      </c>
      <c r="T49" s="36" t="s">
        <v>87</v>
      </c>
      <c r="U49" s="36" t="s">
        <v>88</v>
      </c>
      <c r="V49" s="36" t="s">
        <v>89</v>
      </c>
      <c r="W49" s="420" t="s">
        <v>90</v>
      </c>
    </row>
    <row r="50" spans="1:26" ht="15.75" customHeight="1">
      <c r="A50" s="608"/>
      <c r="B50" s="610"/>
      <c r="C50" s="613"/>
      <c r="D50" s="574"/>
      <c r="E50" s="616"/>
      <c r="F50" s="613"/>
      <c r="G50" s="574"/>
      <c r="H50" s="606"/>
      <c r="I50" s="601"/>
      <c r="J50" s="603"/>
      <c r="K50" s="615"/>
      <c r="L50" s="576"/>
      <c r="M50" s="612"/>
      <c r="N50" s="37">
        <v>-5</v>
      </c>
      <c r="O50" s="38">
        <v>5</v>
      </c>
      <c r="P50" s="38">
        <v>20</v>
      </c>
      <c r="Q50" s="38">
        <v>50</v>
      </c>
      <c r="R50" s="39">
        <v>80</v>
      </c>
      <c r="S50" s="37">
        <v>-5</v>
      </c>
      <c r="T50" s="38">
        <v>5</v>
      </c>
      <c r="U50" s="38">
        <v>20</v>
      </c>
      <c r="V50" s="38">
        <v>50</v>
      </c>
      <c r="W50" s="39">
        <v>80</v>
      </c>
    </row>
    <row r="51" spans="1:26" ht="15" customHeight="1">
      <c r="A51" s="40" t="s">
        <v>33</v>
      </c>
      <c r="B51" s="41" t="s">
        <v>5</v>
      </c>
      <c r="C51" s="74" t="s">
        <v>43</v>
      </c>
      <c r="D51" s="75" t="s">
        <v>43</v>
      </c>
      <c r="E51" s="76" t="s">
        <v>43</v>
      </c>
      <c r="F51" s="40" t="s">
        <v>5</v>
      </c>
      <c r="G51" s="42" t="s">
        <v>5</v>
      </c>
      <c r="H51" s="41" t="s">
        <v>5</v>
      </c>
      <c r="I51" s="602"/>
      <c r="J51" s="604"/>
      <c r="K51" s="74" t="s">
        <v>43</v>
      </c>
      <c r="L51" s="86" t="s">
        <v>43</v>
      </c>
      <c r="M51" s="396" t="s">
        <v>258</v>
      </c>
      <c r="N51" s="64" t="s">
        <v>25</v>
      </c>
      <c r="O51" s="65" t="s">
        <v>25</v>
      </c>
      <c r="P51" s="65" t="s">
        <v>25</v>
      </c>
      <c r="Q51" s="65" t="s">
        <v>25</v>
      </c>
      <c r="R51" s="66" t="s">
        <v>25</v>
      </c>
      <c r="S51" s="40" t="s">
        <v>60</v>
      </c>
      <c r="T51" s="42" t="s">
        <v>60</v>
      </c>
      <c r="U51" s="42" t="s">
        <v>60</v>
      </c>
      <c r="V51" s="42" t="s">
        <v>60</v>
      </c>
      <c r="W51" s="41" t="s">
        <v>60</v>
      </c>
      <c r="Y51" s="617"/>
      <c r="Z51" s="619" t="s">
        <v>34</v>
      </c>
    </row>
    <row r="52" spans="1:26">
      <c r="A52" s="29">
        <v>7</v>
      </c>
      <c r="B52" s="30">
        <f>(180/12)*ABS(12-A52)</f>
        <v>75</v>
      </c>
      <c r="C52" s="77">
        <v>28.391225256450277</v>
      </c>
      <c r="D52" s="78">
        <v>50.473289344800492</v>
      </c>
      <c r="E52" s="79">
        <v>78.864514601250761</v>
      </c>
      <c r="F52" s="29">
        <f>B52</f>
        <v>75</v>
      </c>
      <c r="G52" s="15">
        <f>B52</f>
        <v>75</v>
      </c>
      <c r="H52" s="30">
        <v>0</v>
      </c>
      <c r="I52" s="48">
        <f t="shared" ref="I52:I62" si="29">I33</f>
        <v>0</v>
      </c>
      <c r="J52" s="49">
        <f>'Diffuse Modifier (Numerical)'!$B$13</f>
        <v>0</v>
      </c>
      <c r="K52" s="45">
        <f>($C52*$I52)+($D52*$J52)</f>
        <v>0</v>
      </c>
      <c r="L52" s="84">
        <f t="shared" ref="L52:L62" si="30">$L$4</f>
        <v>-71</v>
      </c>
      <c r="M52" s="399">
        <f>K52+L52</f>
        <v>-71</v>
      </c>
      <c r="N52" s="68">
        <f t="shared" ref="N52:R62" si="31">$B$2*(1-($B$3*$L$6))-($B$4+($B$5*$L$6))*(N$12/$M52)</f>
        <v>0</v>
      </c>
      <c r="O52" s="69">
        <f t="shared" si="31"/>
        <v>0</v>
      </c>
      <c r="P52" s="69">
        <f t="shared" si="31"/>
        <v>0</v>
      </c>
      <c r="Q52" s="69">
        <f t="shared" si="31"/>
        <v>0</v>
      </c>
      <c r="R52" s="70">
        <f t="shared" si="31"/>
        <v>0</v>
      </c>
      <c r="S52" s="338">
        <f>IF(N52*$M52&gt;0,N52*$M52,0)</f>
        <v>0</v>
      </c>
      <c r="T52" s="339">
        <f t="shared" ref="T52:W62" si="32">IF(O52*$M52&gt;0,O52*$M52,0)</f>
        <v>0</v>
      </c>
      <c r="U52" s="339">
        <f t="shared" si="32"/>
        <v>0</v>
      </c>
      <c r="V52" s="339">
        <f t="shared" si="32"/>
        <v>0</v>
      </c>
      <c r="W52" s="340">
        <f t="shared" si="32"/>
        <v>0</v>
      </c>
      <c r="Y52" s="617"/>
      <c r="Z52" s="620"/>
    </row>
    <row r="53" spans="1:26" ht="15" customHeight="1">
      <c r="A53" s="29">
        <v>8</v>
      </c>
      <c r="B53" s="30">
        <f>(180/12)*ABS(12-A53)</f>
        <v>60</v>
      </c>
      <c r="C53" s="77">
        <v>78.864514601250761</v>
      </c>
      <c r="D53" s="78">
        <v>97.791998105550945</v>
      </c>
      <c r="E53" s="79">
        <v>176.65651270680169</v>
      </c>
      <c r="F53" s="29">
        <f t="shared" ref="F53:F62" si="33">B53</f>
        <v>60</v>
      </c>
      <c r="G53" s="15">
        <f t="shared" ref="G53:G62" si="34">B53</f>
        <v>60</v>
      </c>
      <c r="H53" s="30">
        <v>0</v>
      </c>
      <c r="I53" s="27">
        <f t="shared" si="29"/>
        <v>0</v>
      </c>
      <c r="J53" s="43">
        <f>'Diffuse Modifier (Numerical)'!$B$13</f>
        <v>0</v>
      </c>
      <c r="K53" s="45">
        <f t="shared" ref="K53:K62" si="35">($C53*$I53)+($D53*$J53)</f>
        <v>0</v>
      </c>
      <c r="L53" s="25">
        <f t="shared" si="30"/>
        <v>-71</v>
      </c>
      <c r="M53" s="399">
        <f t="shared" ref="M53:M62" si="36">K53+L53</f>
        <v>-71</v>
      </c>
      <c r="N53" s="21">
        <f t="shared" si="31"/>
        <v>0</v>
      </c>
      <c r="O53" s="22">
        <f t="shared" si="31"/>
        <v>0</v>
      </c>
      <c r="P53" s="22">
        <f t="shared" si="31"/>
        <v>0</v>
      </c>
      <c r="Q53" s="22">
        <f t="shared" si="31"/>
        <v>0</v>
      </c>
      <c r="R53" s="23">
        <f t="shared" si="31"/>
        <v>0</v>
      </c>
      <c r="S53" s="336">
        <f t="shared" ref="S53:S62" si="37">IF(N53*$M53&gt;0,N53*$M53,0)</f>
        <v>0</v>
      </c>
      <c r="T53" s="24">
        <f t="shared" si="32"/>
        <v>0</v>
      </c>
      <c r="U53" s="24">
        <f t="shared" si="32"/>
        <v>0</v>
      </c>
      <c r="V53" s="24">
        <f t="shared" si="32"/>
        <v>0</v>
      </c>
      <c r="W53" s="337">
        <f t="shared" si="32"/>
        <v>0</v>
      </c>
      <c r="Y53" s="617"/>
      <c r="Z53" s="621" t="s">
        <v>31</v>
      </c>
    </row>
    <row r="54" spans="1:26">
      <c r="A54" s="29">
        <v>9</v>
      </c>
      <c r="B54" s="30">
        <f t="shared" ref="B54:B62" si="38">(180/12)*ABS(12-A54)</f>
        <v>45</v>
      </c>
      <c r="C54" s="77">
        <v>141.95612628225138</v>
      </c>
      <c r="D54" s="78">
        <v>138.80154569820135</v>
      </c>
      <c r="E54" s="79">
        <v>280.75767198045276</v>
      </c>
      <c r="F54" s="29">
        <f t="shared" si="33"/>
        <v>45</v>
      </c>
      <c r="G54" s="15">
        <f t="shared" si="34"/>
        <v>45</v>
      </c>
      <c r="H54" s="30">
        <v>0</v>
      </c>
      <c r="I54" s="27">
        <f t="shared" si="29"/>
        <v>0</v>
      </c>
      <c r="J54" s="43">
        <f>'Diffuse Modifier (Numerical)'!$B$13</f>
        <v>0</v>
      </c>
      <c r="K54" s="45">
        <f t="shared" si="35"/>
        <v>0</v>
      </c>
      <c r="L54" s="25">
        <f t="shared" si="30"/>
        <v>-71</v>
      </c>
      <c r="M54" s="399">
        <f t="shared" si="36"/>
        <v>-71</v>
      </c>
      <c r="N54" s="21">
        <f t="shared" si="31"/>
        <v>0</v>
      </c>
      <c r="O54" s="22">
        <f t="shared" si="31"/>
        <v>0</v>
      </c>
      <c r="P54" s="22">
        <f t="shared" si="31"/>
        <v>0</v>
      </c>
      <c r="Q54" s="22">
        <f t="shared" si="31"/>
        <v>0</v>
      </c>
      <c r="R54" s="23">
        <f t="shared" si="31"/>
        <v>0</v>
      </c>
      <c r="S54" s="336">
        <f t="shared" si="37"/>
        <v>0</v>
      </c>
      <c r="T54" s="24">
        <f t="shared" si="32"/>
        <v>0</v>
      </c>
      <c r="U54" s="24">
        <f t="shared" si="32"/>
        <v>0</v>
      </c>
      <c r="V54" s="24">
        <f t="shared" si="32"/>
        <v>0</v>
      </c>
      <c r="W54" s="337">
        <f t="shared" si="32"/>
        <v>0</v>
      </c>
      <c r="Y54" s="617"/>
      <c r="Z54" s="622"/>
    </row>
    <row r="55" spans="1:26" ht="15" customHeight="1">
      <c r="A55" s="29">
        <v>10</v>
      </c>
      <c r="B55" s="30">
        <f t="shared" si="38"/>
        <v>30</v>
      </c>
      <c r="C55" s="77">
        <v>201.89315737920197</v>
      </c>
      <c r="D55" s="78">
        <v>170.34735153870164</v>
      </c>
      <c r="E55" s="79">
        <v>372.24050891790358</v>
      </c>
      <c r="F55" s="29">
        <f t="shared" si="33"/>
        <v>30</v>
      </c>
      <c r="G55" s="15">
        <f t="shared" si="34"/>
        <v>30</v>
      </c>
      <c r="H55" s="30">
        <v>0</v>
      </c>
      <c r="I55" s="27">
        <f t="shared" si="29"/>
        <v>0</v>
      </c>
      <c r="J55" s="43">
        <f>'Diffuse Modifier (Numerical)'!$B$13</f>
        <v>0</v>
      </c>
      <c r="K55" s="45">
        <f t="shared" si="35"/>
        <v>0</v>
      </c>
      <c r="L55" s="25">
        <f t="shared" si="30"/>
        <v>-71</v>
      </c>
      <c r="M55" s="399">
        <f t="shared" si="36"/>
        <v>-71</v>
      </c>
      <c r="N55" s="21">
        <f t="shared" si="31"/>
        <v>0</v>
      </c>
      <c r="O55" s="22">
        <f t="shared" si="31"/>
        <v>0</v>
      </c>
      <c r="P55" s="22">
        <f t="shared" si="31"/>
        <v>0</v>
      </c>
      <c r="Q55" s="22">
        <f t="shared" si="31"/>
        <v>0</v>
      </c>
      <c r="R55" s="23">
        <f t="shared" si="31"/>
        <v>0</v>
      </c>
      <c r="S55" s="336">
        <f t="shared" si="37"/>
        <v>0</v>
      </c>
      <c r="T55" s="24">
        <f t="shared" si="32"/>
        <v>0</v>
      </c>
      <c r="U55" s="24">
        <f t="shared" si="32"/>
        <v>0</v>
      </c>
      <c r="V55" s="24">
        <f t="shared" si="32"/>
        <v>0</v>
      </c>
      <c r="W55" s="337">
        <f t="shared" si="32"/>
        <v>0</v>
      </c>
      <c r="Y55" s="617"/>
      <c r="Z55" s="93" t="s">
        <v>57</v>
      </c>
    </row>
    <row r="56" spans="1:26" ht="17.25">
      <c r="A56" s="29">
        <v>11</v>
      </c>
      <c r="B56" s="30">
        <f t="shared" si="38"/>
        <v>15</v>
      </c>
      <c r="C56" s="77">
        <v>249.21186613995241</v>
      </c>
      <c r="D56" s="78">
        <v>189.27483504300184</v>
      </c>
      <c r="E56" s="79">
        <v>438.48670118295428</v>
      </c>
      <c r="F56" s="29">
        <f t="shared" si="33"/>
        <v>15</v>
      </c>
      <c r="G56" s="15">
        <f t="shared" si="34"/>
        <v>15</v>
      </c>
      <c r="H56" s="30">
        <v>0</v>
      </c>
      <c r="I56" s="27">
        <f t="shared" si="29"/>
        <v>0</v>
      </c>
      <c r="J56" s="43">
        <f>'Diffuse Modifier (Numerical)'!$B$13</f>
        <v>0</v>
      </c>
      <c r="K56" s="45">
        <f t="shared" si="35"/>
        <v>0</v>
      </c>
      <c r="L56" s="25">
        <f t="shared" si="30"/>
        <v>-71</v>
      </c>
      <c r="M56" s="399">
        <f t="shared" si="36"/>
        <v>-71</v>
      </c>
      <c r="N56" s="21">
        <f t="shared" si="31"/>
        <v>0</v>
      </c>
      <c r="O56" s="22">
        <f t="shared" si="31"/>
        <v>0</v>
      </c>
      <c r="P56" s="22">
        <f t="shared" si="31"/>
        <v>0</v>
      </c>
      <c r="Q56" s="22">
        <f t="shared" si="31"/>
        <v>0</v>
      </c>
      <c r="R56" s="23">
        <f t="shared" si="31"/>
        <v>0</v>
      </c>
      <c r="S56" s="336">
        <f t="shared" si="37"/>
        <v>0</v>
      </c>
      <c r="T56" s="24">
        <f t="shared" si="32"/>
        <v>0</v>
      </c>
      <c r="U56" s="24">
        <f t="shared" si="32"/>
        <v>0</v>
      </c>
      <c r="V56" s="24">
        <f t="shared" si="32"/>
        <v>0</v>
      </c>
      <c r="W56" s="337">
        <f t="shared" si="32"/>
        <v>0</v>
      </c>
      <c r="Y56" s="617"/>
      <c r="Z56" s="333" t="s">
        <v>58</v>
      </c>
    </row>
    <row r="57" spans="1:26" ht="17.25">
      <c r="A57" s="29">
        <v>12</v>
      </c>
      <c r="B57" s="30">
        <f t="shared" si="38"/>
        <v>0</v>
      </c>
      <c r="C57" s="77">
        <v>264.98476906020255</v>
      </c>
      <c r="D57" s="78">
        <v>195.58399621110189</v>
      </c>
      <c r="E57" s="79">
        <v>460.56876527130453</v>
      </c>
      <c r="F57" s="29">
        <f t="shared" si="33"/>
        <v>0</v>
      </c>
      <c r="G57" s="15">
        <f t="shared" si="34"/>
        <v>0</v>
      </c>
      <c r="H57" s="30">
        <v>0</v>
      </c>
      <c r="I57" s="27">
        <f t="shared" si="29"/>
        <v>1</v>
      </c>
      <c r="J57" s="43">
        <f>'Diffuse Modifier (Numerical)'!$B$13</f>
        <v>0</v>
      </c>
      <c r="K57" s="45">
        <f t="shared" si="35"/>
        <v>264.98476906020255</v>
      </c>
      <c r="L57" s="25">
        <f t="shared" si="30"/>
        <v>-71</v>
      </c>
      <c r="M57" s="399">
        <f t="shared" si="36"/>
        <v>193.98476906020255</v>
      </c>
      <c r="N57" s="21">
        <f t="shared" si="31"/>
        <v>0</v>
      </c>
      <c r="O57" s="22">
        <f t="shared" si="31"/>
        <v>0</v>
      </c>
      <c r="P57" s="22">
        <f t="shared" si="31"/>
        <v>0</v>
      </c>
      <c r="Q57" s="22">
        <f t="shared" si="31"/>
        <v>0</v>
      </c>
      <c r="R57" s="23">
        <f t="shared" si="31"/>
        <v>0</v>
      </c>
      <c r="S57" s="336">
        <f t="shared" si="37"/>
        <v>0</v>
      </c>
      <c r="T57" s="24">
        <f t="shared" si="32"/>
        <v>0</v>
      </c>
      <c r="U57" s="24">
        <f t="shared" si="32"/>
        <v>0</v>
      </c>
      <c r="V57" s="24">
        <f t="shared" si="32"/>
        <v>0</v>
      </c>
      <c r="W57" s="337">
        <f t="shared" si="32"/>
        <v>0</v>
      </c>
      <c r="Y57" s="618"/>
      <c r="Z57" s="91" t="s">
        <v>59</v>
      </c>
    </row>
    <row r="58" spans="1:26">
      <c r="A58" s="29">
        <v>13</v>
      </c>
      <c r="B58" s="30">
        <f t="shared" si="38"/>
        <v>15</v>
      </c>
      <c r="C58" s="77">
        <v>249.21186613995241</v>
      </c>
      <c r="D58" s="78">
        <v>189.27483504300184</v>
      </c>
      <c r="E58" s="79">
        <v>438.48670118295428</v>
      </c>
      <c r="F58" s="29">
        <f t="shared" si="33"/>
        <v>15</v>
      </c>
      <c r="G58" s="15">
        <f t="shared" si="34"/>
        <v>15</v>
      </c>
      <c r="H58" s="30">
        <v>0</v>
      </c>
      <c r="I58" s="27">
        <f t="shared" si="29"/>
        <v>0</v>
      </c>
      <c r="J58" s="43">
        <f>'Diffuse Modifier (Numerical)'!$B$13</f>
        <v>0</v>
      </c>
      <c r="K58" s="45">
        <f t="shared" si="35"/>
        <v>0</v>
      </c>
      <c r="L58" s="25">
        <f t="shared" si="30"/>
        <v>-71</v>
      </c>
      <c r="M58" s="399">
        <f t="shared" si="36"/>
        <v>-71</v>
      </c>
      <c r="N58" s="21">
        <f t="shared" si="31"/>
        <v>0</v>
      </c>
      <c r="O58" s="22">
        <f t="shared" si="31"/>
        <v>0</v>
      </c>
      <c r="P58" s="22">
        <f t="shared" si="31"/>
        <v>0</v>
      </c>
      <c r="Q58" s="22">
        <f t="shared" si="31"/>
        <v>0</v>
      </c>
      <c r="R58" s="23">
        <f t="shared" si="31"/>
        <v>0</v>
      </c>
      <c r="S58" s="336">
        <f t="shared" si="37"/>
        <v>0</v>
      </c>
      <c r="T58" s="24">
        <f t="shared" si="32"/>
        <v>0</v>
      </c>
      <c r="U58" s="24">
        <f t="shared" si="32"/>
        <v>0</v>
      </c>
      <c r="V58" s="24">
        <f t="shared" si="32"/>
        <v>0</v>
      </c>
      <c r="W58" s="337">
        <f t="shared" si="32"/>
        <v>0</v>
      </c>
      <c r="Y58" s="26" t="s">
        <v>26</v>
      </c>
      <c r="Z58" s="47">
        <f>S63/1000</f>
        <v>0</v>
      </c>
    </row>
    <row r="59" spans="1:26">
      <c r="A59" s="29">
        <v>14</v>
      </c>
      <c r="B59" s="30">
        <f t="shared" si="38"/>
        <v>30</v>
      </c>
      <c r="C59" s="77">
        <v>201.89315737920197</v>
      </c>
      <c r="D59" s="78">
        <v>170.34735153870164</v>
      </c>
      <c r="E59" s="79">
        <v>372.24050891790358</v>
      </c>
      <c r="F59" s="29">
        <f t="shared" si="33"/>
        <v>30</v>
      </c>
      <c r="G59" s="15">
        <f t="shared" si="34"/>
        <v>30</v>
      </c>
      <c r="H59" s="30">
        <v>0</v>
      </c>
      <c r="I59" s="27">
        <f t="shared" si="29"/>
        <v>0</v>
      </c>
      <c r="J59" s="43">
        <f>'Diffuse Modifier (Numerical)'!$B$13</f>
        <v>0</v>
      </c>
      <c r="K59" s="45">
        <f t="shared" si="35"/>
        <v>0</v>
      </c>
      <c r="L59" s="25">
        <f t="shared" si="30"/>
        <v>-71</v>
      </c>
      <c r="M59" s="399">
        <f t="shared" si="36"/>
        <v>-71</v>
      </c>
      <c r="N59" s="21">
        <f t="shared" si="31"/>
        <v>0</v>
      </c>
      <c r="O59" s="22">
        <f t="shared" si="31"/>
        <v>0</v>
      </c>
      <c r="P59" s="22">
        <f t="shared" si="31"/>
        <v>0</v>
      </c>
      <c r="Q59" s="22">
        <f t="shared" si="31"/>
        <v>0</v>
      </c>
      <c r="R59" s="23">
        <f t="shared" si="31"/>
        <v>0</v>
      </c>
      <c r="S59" s="336">
        <f t="shared" si="37"/>
        <v>0</v>
      </c>
      <c r="T59" s="24">
        <f t="shared" si="32"/>
        <v>0</v>
      </c>
      <c r="U59" s="24">
        <f t="shared" si="32"/>
        <v>0</v>
      </c>
      <c r="V59" s="24">
        <f t="shared" si="32"/>
        <v>0</v>
      </c>
      <c r="W59" s="337">
        <f t="shared" si="32"/>
        <v>0</v>
      </c>
      <c r="Y59" s="26" t="s">
        <v>27</v>
      </c>
      <c r="Z59" s="46">
        <f>T63/1000</f>
        <v>0</v>
      </c>
    </row>
    <row r="60" spans="1:26">
      <c r="A60" s="29">
        <v>15</v>
      </c>
      <c r="B60" s="30">
        <f t="shared" si="38"/>
        <v>45</v>
      </c>
      <c r="C60" s="77">
        <v>141.95612628225138</v>
      </c>
      <c r="D60" s="78">
        <v>138.80154569820135</v>
      </c>
      <c r="E60" s="79">
        <v>280.75767198045276</v>
      </c>
      <c r="F60" s="29">
        <f t="shared" si="33"/>
        <v>45</v>
      </c>
      <c r="G60" s="15">
        <f t="shared" si="34"/>
        <v>45</v>
      </c>
      <c r="H60" s="30">
        <v>0</v>
      </c>
      <c r="I60" s="27">
        <f t="shared" si="29"/>
        <v>0</v>
      </c>
      <c r="J60" s="43">
        <f>'Diffuse Modifier (Numerical)'!$B$13</f>
        <v>0</v>
      </c>
      <c r="K60" s="45">
        <f t="shared" si="35"/>
        <v>0</v>
      </c>
      <c r="L60" s="25">
        <f t="shared" si="30"/>
        <v>-71</v>
      </c>
      <c r="M60" s="399">
        <f t="shared" si="36"/>
        <v>-71</v>
      </c>
      <c r="N60" s="21">
        <f t="shared" si="31"/>
        <v>0</v>
      </c>
      <c r="O60" s="22">
        <f t="shared" si="31"/>
        <v>0</v>
      </c>
      <c r="P60" s="22">
        <f t="shared" si="31"/>
        <v>0</v>
      </c>
      <c r="Q60" s="22">
        <f t="shared" si="31"/>
        <v>0</v>
      </c>
      <c r="R60" s="23">
        <f t="shared" si="31"/>
        <v>0</v>
      </c>
      <c r="S60" s="336">
        <f t="shared" si="37"/>
        <v>0</v>
      </c>
      <c r="T60" s="24">
        <f t="shared" si="32"/>
        <v>0</v>
      </c>
      <c r="U60" s="24">
        <f t="shared" si="32"/>
        <v>0</v>
      </c>
      <c r="V60" s="24">
        <f t="shared" si="32"/>
        <v>0</v>
      </c>
      <c r="W60" s="337">
        <f t="shared" si="32"/>
        <v>0</v>
      </c>
      <c r="Y60" s="26" t="s">
        <v>28</v>
      </c>
      <c r="Z60" s="46">
        <f>U63/1000</f>
        <v>0</v>
      </c>
    </row>
    <row r="61" spans="1:26">
      <c r="A61" s="29">
        <v>16</v>
      </c>
      <c r="B61" s="30">
        <f t="shared" si="38"/>
        <v>60</v>
      </c>
      <c r="C61" s="77">
        <v>78.864514601250761</v>
      </c>
      <c r="D61" s="78">
        <v>97.791998105550945</v>
      </c>
      <c r="E61" s="79">
        <v>176.65651270680169</v>
      </c>
      <c r="F61" s="29">
        <f t="shared" si="33"/>
        <v>60</v>
      </c>
      <c r="G61" s="15">
        <f t="shared" si="34"/>
        <v>60</v>
      </c>
      <c r="H61" s="30">
        <v>0</v>
      </c>
      <c r="I61" s="27">
        <f t="shared" si="29"/>
        <v>0</v>
      </c>
      <c r="J61" s="43">
        <f>'Diffuse Modifier (Numerical)'!$B$13</f>
        <v>0</v>
      </c>
      <c r="K61" s="45">
        <f t="shared" si="35"/>
        <v>0</v>
      </c>
      <c r="L61" s="25">
        <f t="shared" si="30"/>
        <v>-71</v>
      </c>
      <c r="M61" s="399">
        <f t="shared" si="36"/>
        <v>-71</v>
      </c>
      <c r="N61" s="21">
        <f t="shared" si="31"/>
        <v>0</v>
      </c>
      <c r="O61" s="22">
        <f t="shared" si="31"/>
        <v>0</v>
      </c>
      <c r="P61" s="22">
        <f t="shared" si="31"/>
        <v>0</v>
      </c>
      <c r="Q61" s="22">
        <f t="shared" si="31"/>
        <v>0</v>
      </c>
      <c r="R61" s="23">
        <f t="shared" si="31"/>
        <v>0</v>
      </c>
      <c r="S61" s="336">
        <f t="shared" si="37"/>
        <v>0</v>
      </c>
      <c r="T61" s="24">
        <f t="shared" si="32"/>
        <v>0</v>
      </c>
      <c r="U61" s="24">
        <f t="shared" si="32"/>
        <v>0</v>
      </c>
      <c r="V61" s="24">
        <f t="shared" si="32"/>
        <v>0</v>
      </c>
      <c r="W61" s="337">
        <f t="shared" si="32"/>
        <v>0</v>
      </c>
      <c r="Y61" s="26" t="s">
        <v>29</v>
      </c>
      <c r="Z61" s="46">
        <f>V63/1000</f>
        <v>0</v>
      </c>
    </row>
    <row r="62" spans="1:26">
      <c r="A62" s="29">
        <v>17</v>
      </c>
      <c r="B62" s="30">
        <f t="shared" si="38"/>
        <v>75</v>
      </c>
      <c r="C62" s="77">
        <v>28.391225256450277</v>
      </c>
      <c r="D62" s="78">
        <v>50.473289344800492</v>
      </c>
      <c r="E62" s="79">
        <v>78.864514601250761</v>
      </c>
      <c r="F62" s="29">
        <f t="shared" si="33"/>
        <v>75</v>
      </c>
      <c r="G62" s="15">
        <f t="shared" si="34"/>
        <v>75</v>
      </c>
      <c r="H62" s="30">
        <v>0</v>
      </c>
      <c r="I62" s="28">
        <f t="shared" si="29"/>
        <v>0</v>
      </c>
      <c r="J62" s="50">
        <f>'Diffuse Modifier (Numerical)'!$B$13</f>
        <v>0</v>
      </c>
      <c r="K62" s="45">
        <f t="shared" si="35"/>
        <v>0</v>
      </c>
      <c r="L62" s="85">
        <f t="shared" si="30"/>
        <v>-71</v>
      </c>
      <c r="M62" s="399">
        <f t="shared" si="36"/>
        <v>-71</v>
      </c>
      <c r="N62" s="71">
        <f t="shared" si="31"/>
        <v>0</v>
      </c>
      <c r="O62" s="72">
        <f t="shared" si="31"/>
        <v>0</v>
      </c>
      <c r="P62" s="72">
        <f t="shared" si="31"/>
        <v>0</v>
      </c>
      <c r="Q62" s="72">
        <f t="shared" si="31"/>
        <v>0</v>
      </c>
      <c r="R62" s="73">
        <f t="shared" si="31"/>
        <v>0</v>
      </c>
      <c r="S62" s="341">
        <f t="shared" si="37"/>
        <v>0</v>
      </c>
      <c r="T62" s="342">
        <f t="shared" si="32"/>
        <v>0</v>
      </c>
      <c r="U62" s="342">
        <f t="shared" si="32"/>
        <v>0</v>
      </c>
      <c r="V62" s="342">
        <f t="shared" si="32"/>
        <v>0</v>
      </c>
      <c r="W62" s="343">
        <f t="shared" si="32"/>
        <v>0</v>
      </c>
      <c r="Y62" s="26" t="s">
        <v>30</v>
      </c>
      <c r="Z62" s="46">
        <f>W63/1000</f>
        <v>0</v>
      </c>
    </row>
    <row r="63" spans="1:26">
      <c r="A63" s="599" t="s">
        <v>44</v>
      </c>
      <c r="B63" s="600"/>
      <c r="C63" s="80">
        <f>SUM(C52:C62)</f>
        <v>1665.6185483784161</v>
      </c>
      <c r="D63" s="81">
        <f>SUM(D52:D62)</f>
        <v>1488.9620356716141</v>
      </c>
      <c r="E63" s="82">
        <f>SUM(E52:E62)</f>
        <v>3154.5805840500311</v>
      </c>
      <c r="F63" s="31"/>
      <c r="G63" s="32"/>
      <c r="H63" s="33"/>
      <c r="I63" s="34"/>
      <c r="J63" s="35"/>
      <c r="K63" s="31">
        <f t="shared" ref="K63:M63" si="39">SUM(K52:K62)</f>
        <v>264.98476906020255</v>
      </c>
      <c r="L63" s="32">
        <f t="shared" si="39"/>
        <v>-781</v>
      </c>
      <c r="M63" s="400">
        <f t="shared" si="39"/>
        <v>-516.01523093979745</v>
      </c>
      <c r="N63" s="34"/>
      <c r="O63" s="67"/>
      <c r="P63" s="67"/>
      <c r="Q63" s="67"/>
      <c r="R63" s="35"/>
      <c r="S63" s="31">
        <f>SUM(S52:S62)</f>
        <v>0</v>
      </c>
      <c r="T63" s="32">
        <f t="shared" ref="T63:W63" si="40">SUM(T52:T62)</f>
        <v>0</v>
      </c>
      <c r="U63" s="32">
        <f t="shared" si="40"/>
        <v>0</v>
      </c>
      <c r="V63" s="32">
        <f t="shared" si="40"/>
        <v>0</v>
      </c>
      <c r="W63" s="33">
        <f t="shared" si="40"/>
        <v>0</v>
      </c>
    </row>
    <row r="64" spans="1:26">
      <c r="A64" s="1"/>
      <c r="B64" s="1"/>
      <c r="C64" s="1"/>
      <c r="D64" s="1"/>
      <c r="E64" s="1"/>
      <c r="F64" s="1"/>
      <c r="G64" s="1"/>
      <c r="H64" s="1"/>
      <c r="I64" s="56"/>
      <c r="J64" s="56"/>
      <c r="N64" s="56"/>
      <c r="O64" s="56"/>
      <c r="P64" s="56"/>
      <c r="Q64" s="56"/>
      <c r="R64" s="87" t="s">
        <v>25</v>
      </c>
      <c r="S64" s="88">
        <f>S63/$M63</f>
        <v>0</v>
      </c>
      <c r="T64" s="89">
        <f>T63/$M63</f>
        <v>0</v>
      </c>
      <c r="U64" s="89">
        <f>U63/$M63</f>
        <v>0</v>
      </c>
      <c r="V64" s="89">
        <f>V63/$M63</f>
        <v>0</v>
      </c>
      <c r="W64" s="90">
        <f>W63/$M63</f>
        <v>0</v>
      </c>
    </row>
    <row r="67" spans="19:20">
      <c r="S67" s="332"/>
      <c r="T67" s="332"/>
    </row>
  </sheetData>
  <mergeCells count="80">
    <mergeCell ref="A1:G1"/>
    <mergeCell ref="Y51:Y57"/>
    <mergeCell ref="L49:L50"/>
    <mergeCell ref="M49:M50"/>
    <mergeCell ref="A48:A50"/>
    <mergeCell ref="B48:B50"/>
    <mergeCell ref="C48:E48"/>
    <mergeCell ref="F48:H48"/>
    <mergeCell ref="I48:J48"/>
    <mergeCell ref="J49:J51"/>
    <mergeCell ref="Y32:Y38"/>
    <mergeCell ref="C30:C31"/>
    <mergeCell ref="N29:R29"/>
    <mergeCell ref="S29:W29"/>
    <mergeCell ref="K29:M29"/>
    <mergeCell ref="K30:K31"/>
    <mergeCell ref="Z51:Z52"/>
    <mergeCell ref="Z53:Z54"/>
    <mergeCell ref="A63:B63"/>
    <mergeCell ref="N48:R48"/>
    <mergeCell ref="S48:W48"/>
    <mergeCell ref="C49:C50"/>
    <mergeCell ref="D49:D50"/>
    <mergeCell ref="E49:E50"/>
    <mergeCell ref="F49:F50"/>
    <mergeCell ref="G49:G50"/>
    <mergeCell ref="H49:H50"/>
    <mergeCell ref="I49:I51"/>
    <mergeCell ref="K48:M48"/>
    <mergeCell ref="K49:K50"/>
    <mergeCell ref="Z32:Z33"/>
    <mergeCell ref="Z34:Z35"/>
    <mergeCell ref="A44:B44"/>
    <mergeCell ref="A47:W47"/>
    <mergeCell ref="I30:I32"/>
    <mergeCell ref="J30:J32"/>
    <mergeCell ref="A29:A31"/>
    <mergeCell ref="B29:B31"/>
    <mergeCell ref="C29:E29"/>
    <mergeCell ref="F29:H29"/>
    <mergeCell ref="I29:J29"/>
    <mergeCell ref="D30:D31"/>
    <mergeCell ref="E30:E31"/>
    <mergeCell ref="F30:F31"/>
    <mergeCell ref="G30:G31"/>
    <mergeCell ref="H30:H31"/>
    <mergeCell ref="L30:L31"/>
    <mergeCell ref="M30:M31"/>
    <mergeCell ref="Y13:Y19"/>
    <mergeCell ref="Z13:Z14"/>
    <mergeCell ref="Z15:Z16"/>
    <mergeCell ref="A25:B25"/>
    <mergeCell ref="A28:W28"/>
    <mergeCell ref="I11:I13"/>
    <mergeCell ref="J11:J13"/>
    <mergeCell ref="H11:H12"/>
    <mergeCell ref="A10:A12"/>
    <mergeCell ref="B10:B12"/>
    <mergeCell ref="C10:E10"/>
    <mergeCell ref="F10:H10"/>
    <mergeCell ref="I10:J10"/>
    <mergeCell ref="M11:M12"/>
    <mergeCell ref="C11:C12"/>
    <mergeCell ref="K11:K12"/>
    <mergeCell ref="D11:D12"/>
    <mergeCell ref="E11:E12"/>
    <mergeCell ref="F11:F12"/>
    <mergeCell ref="G11:G12"/>
    <mergeCell ref="L11:L12"/>
    <mergeCell ref="K10:M10"/>
    <mergeCell ref="J6:K6"/>
    <mergeCell ref="H2:I4"/>
    <mergeCell ref="A9:W9"/>
    <mergeCell ref="A6:G6"/>
    <mergeCell ref="B7:G7"/>
    <mergeCell ref="N10:R10"/>
    <mergeCell ref="S10:W10"/>
    <mergeCell ref="J2:K2"/>
    <mergeCell ref="J3:K3"/>
    <mergeCell ref="J4:K4"/>
  </mergeCells>
  <conditionalFormatting sqref="S27:W27 N14:W24">
    <cfRule type="cellIs" dxfId="7" priority="12" operator="equal">
      <formula>0</formula>
    </cfRule>
  </conditionalFormatting>
  <conditionalFormatting sqref="S46:W46">
    <cfRule type="cellIs" dxfId="6" priority="11" operator="equal">
      <formula>0</formula>
    </cfRule>
  </conditionalFormatting>
  <conditionalFormatting sqref="N52:W62">
    <cfRule type="cellIs" dxfId="5" priority="4" operator="equal">
      <formula>0</formula>
    </cfRule>
  </conditionalFormatting>
  <conditionalFormatting sqref="S45:W45">
    <cfRule type="cellIs" dxfId="4" priority="5" operator="equal">
      <formula>0</formula>
    </cfRule>
  </conditionalFormatting>
  <conditionalFormatting sqref="S26:W26">
    <cfRule type="cellIs" dxfId="3" priority="7" operator="equal">
      <formula>0</formula>
    </cfRule>
  </conditionalFormatting>
  <conditionalFormatting sqref="S33:W43">
    <cfRule type="cellIs" dxfId="2" priority="6" operator="equal">
      <formula>0</formula>
    </cfRule>
  </conditionalFormatting>
  <conditionalFormatting sqref="S64:W64">
    <cfRule type="cellIs" dxfId="1" priority="3" operator="equal">
      <formula>0</formula>
    </cfRule>
  </conditionalFormatting>
  <conditionalFormatting sqref="N33:R43">
    <cfRule type="cellIs" dxfId="0" priority="2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6"/>
  <sheetViews>
    <sheetView tabSelected="1" zoomScaleNormal="100" workbookViewId="0">
      <selection activeCell="A74" sqref="A74"/>
    </sheetView>
  </sheetViews>
  <sheetFormatPr defaultRowHeight="15"/>
  <cols>
    <col min="1" max="1" width="23.42578125" style="146" customWidth="1"/>
    <col min="2" max="6" width="14.7109375" style="146" customWidth="1"/>
    <col min="7" max="10" width="14.7109375" style="157" customWidth="1"/>
    <col min="11" max="11" width="15.7109375" style="120" customWidth="1"/>
    <col min="12" max="15" width="9.5703125" style="146" bestFit="1" customWidth="1"/>
    <col min="16" max="16" width="9.140625" style="146"/>
    <col min="17" max="19" width="9.5703125" style="146" bestFit="1" customWidth="1"/>
    <col min="20" max="16384" width="9.140625" style="146"/>
  </cols>
  <sheetData>
    <row r="1" spans="1:19" ht="20.100000000000001" customHeight="1">
      <c r="A1" s="627" t="s">
        <v>276</v>
      </c>
      <c r="B1" s="627"/>
      <c r="C1" s="627"/>
      <c r="D1" s="627"/>
      <c r="E1" s="627"/>
      <c r="F1" s="627"/>
      <c r="G1" s="627"/>
      <c r="H1" s="627"/>
      <c r="I1" s="627"/>
      <c r="J1" s="627"/>
    </row>
    <row r="2" spans="1:19" ht="20.100000000000001" customHeight="1">
      <c r="A2" s="628" t="s">
        <v>275</v>
      </c>
      <c r="B2" s="628"/>
      <c r="C2" s="628"/>
      <c r="D2" s="629">
        <f>'Input Data'!C3</f>
        <v>0</v>
      </c>
      <c r="E2" s="629"/>
      <c r="F2" s="629"/>
    </row>
    <row r="3" spans="1:19" ht="20.100000000000001" customHeight="1">
      <c r="A3" s="628" t="s">
        <v>92</v>
      </c>
      <c r="B3" s="628"/>
      <c r="C3" s="628"/>
      <c r="D3" s="629">
        <f>'Input Data'!C4</f>
        <v>0</v>
      </c>
      <c r="E3" s="629"/>
      <c r="F3" s="629"/>
    </row>
    <row r="4" spans="1:19" ht="20.100000000000001" customHeight="1">
      <c r="A4" s="628" t="s">
        <v>146</v>
      </c>
      <c r="B4" s="628"/>
      <c r="C4" s="628"/>
      <c r="D4" s="629">
        <f>'Input Data'!C5</f>
        <v>0</v>
      </c>
      <c r="E4" s="629"/>
      <c r="F4" s="629"/>
    </row>
    <row r="5" spans="1:19" ht="20.100000000000001" customHeight="1">
      <c r="A5" s="628" t="s">
        <v>147</v>
      </c>
      <c r="B5" s="628"/>
      <c r="C5" s="628"/>
      <c r="D5" s="629">
        <f>'Input Data'!C24</f>
        <v>0</v>
      </c>
      <c r="E5" s="629"/>
      <c r="F5" s="629"/>
    </row>
    <row r="6" spans="1:19" ht="20.100000000000001" customHeight="1" thickBot="1">
      <c r="A6" s="158"/>
      <c r="B6" s="158"/>
      <c r="C6" s="158"/>
      <c r="D6" s="159"/>
      <c r="E6" s="159"/>
      <c r="F6" s="159"/>
    </row>
    <row r="7" spans="1:19" ht="20.100000000000001" customHeight="1" thickTop="1" thickBot="1">
      <c r="A7" s="641" t="s">
        <v>274</v>
      </c>
      <c r="B7" s="642"/>
      <c r="C7" s="642"/>
      <c r="D7" s="642"/>
      <c r="E7" s="642"/>
      <c r="F7" s="642"/>
      <c r="G7" s="642"/>
      <c r="H7" s="642"/>
      <c r="I7" s="642"/>
      <c r="J7" s="643"/>
      <c r="K7" s="160"/>
    </row>
    <row r="8" spans="1:19" ht="20.100000000000001" customHeight="1" thickBot="1">
      <c r="A8" s="644" t="s">
        <v>242</v>
      </c>
      <c r="B8" s="645"/>
      <c r="C8" s="646"/>
      <c r="D8" s="646"/>
      <c r="E8" s="646"/>
      <c r="F8" s="646"/>
      <c r="G8" s="646"/>
      <c r="H8" s="646"/>
      <c r="I8" s="646"/>
      <c r="J8" s="647"/>
      <c r="K8" s="161"/>
    </row>
    <row r="9" spans="1:19" ht="20.100000000000001" customHeight="1">
      <c r="A9" s="648" t="s">
        <v>83</v>
      </c>
      <c r="B9" s="649"/>
      <c r="C9" s="654" t="s">
        <v>86</v>
      </c>
      <c r="D9" s="656" t="s">
        <v>84</v>
      </c>
      <c r="E9" s="656"/>
      <c r="F9" s="657"/>
      <c r="G9" s="654" t="s">
        <v>86</v>
      </c>
      <c r="H9" s="656" t="s">
        <v>85</v>
      </c>
      <c r="I9" s="656"/>
      <c r="J9" s="658"/>
      <c r="K9" s="162"/>
    </row>
    <row r="10" spans="1:19" ht="20.100000000000001" customHeight="1">
      <c r="A10" s="650"/>
      <c r="B10" s="651"/>
      <c r="C10" s="655"/>
      <c r="D10" s="659" t="s">
        <v>32</v>
      </c>
      <c r="E10" s="329" t="s">
        <v>148</v>
      </c>
      <c r="F10" s="661" t="s">
        <v>34</v>
      </c>
      <c r="G10" s="655"/>
      <c r="H10" s="659" t="s">
        <v>32</v>
      </c>
      <c r="I10" s="329" t="s">
        <v>148</v>
      </c>
      <c r="J10" s="637" t="s">
        <v>34</v>
      </c>
      <c r="K10" s="162"/>
    </row>
    <row r="11" spans="1:19" ht="20.100000000000001" customHeight="1">
      <c r="A11" s="650"/>
      <c r="B11" s="651"/>
      <c r="C11" s="328" t="s">
        <v>149</v>
      </c>
      <c r="D11" s="660"/>
      <c r="E11" s="330" t="s">
        <v>34</v>
      </c>
      <c r="F11" s="662"/>
      <c r="G11" s="328" t="s">
        <v>149</v>
      </c>
      <c r="H11" s="660"/>
      <c r="I11" s="330" t="s">
        <v>34</v>
      </c>
      <c r="J11" s="638"/>
      <c r="K11" s="162"/>
    </row>
    <row r="12" spans="1:19" ht="20.100000000000001" customHeight="1">
      <c r="A12" s="652"/>
      <c r="B12" s="653"/>
      <c r="C12" s="163" t="s">
        <v>150</v>
      </c>
      <c r="D12" s="164" t="s">
        <v>151</v>
      </c>
      <c r="E12" s="165" t="s">
        <v>151</v>
      </c>
      <c r="F12" s="166" t="s">
        <v>151</v>
      </c>
      <c r="G12" s="167" t="s">
        <v>152</v>
      </c>
      <c r="H12" s="164" t="s">
        <v>153</v>
      </c>
      <c r="I12" s="164" t="s">
        <v>153</v>
      </c>
      <c r="J12" s="168" t="s">
        <v>153</v>
      </c>
      <c r="K12" s="170"/>
    </row>
    <row r="13" spans="1:19" ht="20.100000000000001" customHeight="1">
      <c r="A13" s="639" t="s">
        <v>154</v>
      </c>
      <c r="B13" s="640"/>
      <c r="C13" s="169">
        <v>-5</v>
      </c>
      <c r="D13" s="299">
        <f t="shared" ref="D13:F16" si="0">D23*$G$50</f>
        <v>0</v>
      </c>
      <c r="E13" s="300">
        <f t="shared" si="0"/>
        <v>0</v>
      </c>
      <c r="F13" s="301">
        <f t="shared" si="0"/>
        <v>0</v>
      </c>
      <c r="G13" s="169">
        <v>-9</v>
      </c>
      <c r="H13" s="300">
        <f t="shared" ref="H13:J16" si="1">H23*$I$50</f>
        <v>0</v>
      </c>
      <c r="I13" s="300">
        <f t="shared" si="1"/>
        <v>0</v>
      </c>
      <c r="J13" s="302">
        <f t="shared" si="1"/>
        <v>0</v>
      </c>
      <c r="K13" s="170"/>
      <c r="L13" s="428"/>
      <c r="M13" s="428"/>
      <c r="N13" s="428"/>
      <c r="O13" s="428"/>
      <c r="Q13" s="428"/>
      <c r="R13" s="428"/>
      <c r="S13" s="428"/>
    </row>
    <row r="14" spans="1:19" ht="20.100000000000001" customHeight="1">
      <c r="A14" s="639" t="s">
        <v>155</v>
      </c>
      <c r="B14" s="640"/>
      <c r="C14" s="171">
        <v>5</v>
      </c>
      <c r="D14" s="300">
        <f t="shared" si="0"/>
        <v>0</v>
      </c>
      <c r="E14" s="300">
        <f t="shared" si="0"/>
        <v>0</v>
      </c>
      <c r="F14" s="301">
        <f t="shared" si="0"/>
        <v>0</v>
      </c>
      <c r="G14" s="169">
        <v>9</v>
      </c>
      <c r="H14" s="300">
        <f t="shared" si="1"/>
        <v>0</v>
      </c>
      <c r="I14" s="300">
        <f t="shared" si="1"/>
        <v>0</v>
      </c>
      <c r="J14" s="302">
        <f t="shared" si="1"/>
        <v>0</v>
      </c>
      <c r="K14" s="170"/>
      <c r="L14" s="428"/>
      <c r="M14" s="428"/>
      <c r="N14" s="428"/>
      <c r="O14" s="428"/>
      <c r="Q14" s="428"/>
      <c r="R14" s="428"/>
      <c r="S14" s="428"/>
    </row>
    <row r="15" spans="1:19" ht="20.100000000000001" customHeight="1">
      <c r="A15" s="639" t="s">
        <v>156</v>
      </c>
      <c r="B15" s="640"/>
      <c r="C15" s="171">
        <v>20</v>
      </c>
      <c r="D15" s="300">
        <f t="shared" si="0"/>
        <v>0</v>
      </c>
      <c r="E15" s="300">
        <f t="shared" si="0"/>
        <v>0</v>
      </c>
      <c r="F15" s="301">
        <f t="shared" si="0"/>
        <v>0</v>
      </c>
      <c r="G15" s="169">
        <v>36</v>
      </c>
      <c r="H15" s="300">
        <f t="shared" si="1"/>
        <v>0</v>
      </c>
      <c r="I15" s="300">
        <f t="shared" si="1"/>
        <v>0</v>
      </c>
      <c r="J15" s="302">
        <f t="shared" si="1"/>
        <v>0</v>
      </c>
      <c r="K15" s="170"/>
      <c r="L15" s="428"/>
      <c r="M15" s="428"/>
      <c r="N15" s="428"/>
      <c r="O15" s="428"/>
      <c r="Q15" s="428"/>
      <c r="R15" s="428"/>
      <c r="S15" s="428"/>
    </row>
    <row r="16" spans="1:19" ht="20.100000000000001" customHeight="1" thickBot="1">
      <c r="A16" s="639" t="s">
        <v>157</v>
      </c>
      <c r="B16" s="640"/>
      <c r="C16" s="171">
        <v>50</v>
      </c>
      <c r="D16" s="300">
        <f t="shared" si="0"/>
        <v>0</v>
      </c>
      <c r="E16" s="300">
        <f t="shared" si="0"/>
        <v>0</v>
      </c>
      <c r="F16" s="301">
        <f t="shared" si="0"/>
        <v>0</v>
      </c>
      <c r="G16" s="169">
        <v>90</v>
      </c>
      <c r="H16" s="300">
        <f t="shared" si="1"/>
        <v>0</v>
      </c>
      <c r="I16" s="300">
        <f t="shared" si="1"/>
        <v>0</v>
      </c>
      <c r="J16" s="302">
        <f t="shared" si="1"/>
        <v>0</v>
      </c>
      <c r="K16" s="170"/>
      <c r="L16" s="428"/>
      <c r="M16" s="428"/>
      <c r="N16" s="428"/>
      <c r="O16" s="428"/>
      <c r="Q16" s="428"/>
      <c r="R16" s="428"/>
      <c r="S16" s="428"/>
    </row>
    <row r="17" spans="1:11" ht="20.100000000000001" customHeight="1" thickTop="1" thickBot="1">
      <c r="A17" s="630"/>
      <c r="B17" s="631"/>
      <c r="C17" s="631"/>
      <c r="D17" s="631"/>
      <c r="E17" s="631"/>
      <c r="F17" s="631"/>
      <c r="G17" s="631"/>
      <c r="H17" s="631"/>
      <c r="I17" s="631"/>
      <c r="J17" s="632"/>
      <c r="K17" s="172"/>
    </row>
    <row r="18" spans="1:11" ht="20.100000000000001" customHeight="1" thickTop="1" thickBot="1">
      <c r="A18" s="633" t="s">
        <v>243</v>
      </c>
      <c r="B18" s="634"/>
      <c r="C18" s="635"/>
      <c r="D18" s="635"/>
      <c r="E18" s="635"/>
      <c r="F18" s="635"/>
      <c r="G18" s="635"/>
      <c r="H18" s="635"/>
      <c r="I18" s="635"/>
      <c r="J18" s="636"/>
      <c r="K18" s="172"/>
    </row>
    <row r="19" spans="1:11" ht="20.100000000000001" customHeight="1">
      <c r="A19" s="686" t="s">
        <v>83</v>
      </c>
      <c r="B19" s="687"/>
      <c r="C19" s="692" t="s">
        <v>86</v>
      </c>
      <c r="D19" s="694" t="s">
        <v>158</v>
      </c>
      <c r="E19" s="694"/>
      <c r="F19" s="695"/>
      <c r="G19" s="692" t="s">
        <v>86</v>
      </c>
      <c r="H19" s="694" t="s">
        <v>159</v>
      </c>
      <c r="I19" s="694"/>
      <c r="J19" s="696"/>
      <c r="K19" s="172"/>
    </row>
    <row r="20" spans="1:11" ht="20.100000000000001" customHeight="1">
      <c r="A20" s="688"/>
      <c r="B20" s="689"/>
      <c r="C20" s="693"/>
      <c r="D20" s="663" t="s">
        <v>32</v>
      </c>
      <c r="E20" s="326" t="s">
        <v>148</v>
      </c>
      <c r="F20" s="697" t="s">
        <v>34</v>
      </c>
      <c r="G20" s="693"/>
      <c r="H20" s="663" t="s">
        <v>32</v>
      </c>
      <c r="I20" s="326" t="s">
        <v>148</v>
      </c>
      <c r="J20" s="674" t="s">
        <v>34</v>
      </c>
      <c r="K20" s="172"/>
    </row>
    <row r="21" spans="1:11" ht="20.100000000000001" customHeight="1">
      <c r="A21" s="688"/>
      <c r="B21" s="689"/>
      <c r="C21" s="325" t="s">
        <v>149</v>
      </c>
      <c r="D21" s="664"/>
      <c r="E21" s="327" t="s">
        <v>34</v>
      </c>
      <c r="F21" s="698"/>
      <c r="G21" s="325" t="s">
        <v>149</v>
      </c>
      <c r="H21" s="664"/>
      <c r="I21" s="327" t="s">
        <v>34</v>
      </c>
      <c r="J21" s="675"/>
      <c r="K21" s="172"/>
    </row>
    <row r="22" spans="1:11" ht="20.100000000000001" customHeight="1">
      <c r="A22" s="690"/>
      <c r="B22" s="691"/>
      <c r="C22" s="163" t="s">
        <v>150</v>
      </c>
      <c r="D22" s="173" t="s">
        <v>160</v>
      </c>
      <c r="E22" s="174" t="s">
        <v>160</v>
      </c>
      <c r="F22" s="175" t="s">
        <v>160</v>
      </c>
      <c r="G22" s="163" t="s">
        <v>152</v>
      </c>
      <c r="H22" s="173" t="s">
        <v>161</v>
      </c>
      <c r="I22" s="173" t="s">
        <v>161</v>
      </c>
      <c r="J22" s="176" t="s">
        <v>161</v>
      </c>
      <c r="K22" s="172"/>
    </row>
    <row r="23" spans="1:11" ht="20.100000000000001" customHeight="1">
      <c r="A23" s="639" t="s">
        <v>154</v>
      </c>
      <c r="B23" s="640"/>
      <c r="C23" s="169">
        <v>-5</v>
      </c>
      <c r="D23" s="429">
        <f>'Calculator (SI)'!Z20</f>
        <v>0</v>
      </c>
      <c r="E23" s="345">
        <f>'Calculator (SI)'!Z39</f>
        <v>0</v>
      </c>
      <c r="F23" s="430">
        <f>'Calculator (SI)'!Z58</f>
        <v>0</v>
      </c>
      <c r="G23" s="169">
        <v>-9</v>
      </c>
      <c r="H23" s="345">
        <f>D23*'Unit Lists'!$B$11</f>
        <v>0</v>
      </c>
      <c r="I23" s="345">
        <f>E23*'Unit Lists'!$B$11</f>
        <v>0</v>
      </c>
      <c r="J23" s="348">
        <f>F23*'Unit Lists'!$B$11</f>
        <v>0</v>
      </c>
      <c r="K23" s="172"/>
    </row>
    <row r="24" spans="1:11" ht="20.100000000000001" customHeight="1">
      <c r="A24" s="177" t="s">
        <v>155</v>
      </c>
      <c r="B24" s="178"/>
      <c r="C24" s="171">
        <v>5</v>
      </c>
      <c r="D24" s="429">
        <f>'Calculator (SI)'!Z21</f>
        <v>0</v>
      </c>
      <c r="E24" s="345">
        <f>'Calculator (SI)'!Z40</f>
        <v>0</v>
      </c>
      <c r="F24" s="430">
        <f>'Calculator (SI)'!Z59</f>
        <v>0</v>
      </c>
      <c r="G24" s="169">
        <v>9</v>
      </c>
      <c r="H24" s="345">
        <f>D24*'Unit Lists'!$B$11</f>
        <v>0</v>
      </c>
      <c r="I24" s="345">
        <f>E24*'Unit Lists'!$B$11</f>
        <v>0</v>
      </c>
      <c r="J24" s="348">
        <f>F24*'Unit Lists'!$B$11</f>
        <v>0</v>
      </c>
      <c r="K24" s="172"/>
    </row>
    <row r="25" spans="1:11" ht="20.100000000000001" customHeight="1">
      <c r="A25" s="177" t="s">
        <v>156</v>
      </c>
      <c r="B25" s="178"/>
      <c r="C25" s="171">
        <v>20</v>
      </c>
      <c r="D25" s="429">
        <f>'Calculator (SI)'!Z22</f>
        <v>0</v>
      </c>
      <c r="E25" s="345">
        <f>'Calculator (SI)'!Z41</f>
        <v>0</v>
      </c>
      <c r="F25" s="430">
        <f>'Calculator (SI)'!Z60</f>
        <v>0</v>
      </c>
      <c r="G25" s="169">
        <v>36</v>
      </c>
      <c r="H25" s="345">
        <f>D25*'Unit Lists'!$B$11</f>
        <v>0</v>
      </c>
      <c r="I25" s="345">
        <f>E25*'Unit Lists'!$B$11</f>
        <v>0</v>
      </c>
      <c r="J25" s="348">
        <f>F25*'Unit Lists'!$B$11</f>
        <v>0</v>
      </c>
      <c r="K25" s="172"/>
    </row>
    <row r="26" spans="1:11" ht="20.100000000000001" customHeight="1" thickBot="1">
      <c r="A26" s="179" t="s">
        <v>157</v>
      </c>
      <c r="B26" s="180"/>
      <c r="C26" s="181">
        <v>50</v>
      </c>
      <c r="D26" s="346">
        <f>'Calculator (SI)'!Z23</f>
        <v>0</v>
      </c>
      <c r="E26" s="346">
        <f>'Calculator (SI)'!Z42</f>
        <v>0</v>
      </c>
      <c r="F26" s="347">
        <f>'Calculator (SI)'!Z61</f>
        <v>0</v>
      </c>
      <c r="G26" s="182">
        <v>90</v>
      </c>
      <c r="H26" s="346">
        <f>D26*'Unit Lists'!$B$11</f>
        <v>0</v>
      </c>
      <c r="I26" s="346">
        <f>E26*'Unit Lists'!$B$11</f>
        <v>0</v>
      </c>
      <c r="J26" s="349">
        <f>F26*'Unit Lists'!$B$11</f>
        <v>0</v>
      </c>
      <c r="K26" s="172"/>
    </row>
    <row r="27" spans="1:11" ht="20.100000000000001" customHeight="1" thickBot="1">
      <c r="A27" s="676" t="s">
        <v>162</v>
      </c>
      <c r="B27" s="677"/>
      <c r="C27" s="677"/>
      <c r="D27" s="677"/>
      <c r="E27" s="677"/>
      <c r="F27" s="677"/>
      <c r="G27" s="677"/>
      <c r="H27" s="677"/>
      <c r="I27" s="677"/>
      <c r="J27" s="678"/>
    </row>
    <row r="28" spans="1:11" ht="20.100000000000001" customHeight="1" thickTop="1" thickBot="1">
      <c r="A28" s="183"/>
      <c r="B28" s="183"/>
      <c r="C28" s="183"/>
      <c r="D28" s="184"/>
      <c r="E28" s="184"/>
      <c r="F28" s="184"/>
      <c r="G28" s="185"/>
      <c r="H28" s="185"/>
      <c r="I28" s="185"/>
      <c r="J28" s="185"/>
    </row>
    <row r="29" spans="1:11" ht="20.100000000000001" customHeight="1" thickTop="1" thickBot="1">
      <c r="A29" s="641" t="s">
        <v>230</v>
      </c>
      <c r="B29" s="642"/>
      <c r="C29" s="642"/>
      <c r="D29" s="642"/>
      <c r="E29" s="642"/>
      <c r="F29" s="642"/>
      <c r="G29" s="642"/>
      <c r="H29" s="642"/>
      <c r="I29" s="642"/>
      <c r="J29" s="643"/>
      <c r="K29" s="146"/>
    </row>
    <row r="30" spans="1:11" ht="20.100000000000001" customHeight="1">
      <c r="A30" s="679" t="s">
        <v>247</v>
      </c>
      <c r="B30" s="186"/>
      <c r="C30" s="187"/>
      <c r="D30" s="187"/>
      <c r="E30" s="188"/>
      <c r="F30" s="681" t="s">
        <v>248</v>
      </c>
      <c r="G30" s="189"/>
      <c r="H30" s="187"/>
      <c r="I30" s="187"/>
      <c r="J30" s="190"/>
      <c r="K30" s="146"/>
    </row>
    <row r="31" spans="1:11" ht="20.100000000000001" customHeight="1">
      <c r="A31" s="680"/>
      <c r="B31" s="191"/>
      <c r="C31" s="192"/>
      <c r="D31" s="192"/>
      <c r="E31" s="193"/>
      <c r="F31" s="682"/>
      <c r="G31" s="194"/>
      <c r="H31" s="192"/>
      <c r="I31" s="192"/>
      <c r="J31" s="195"/>
      <c r="K31" s="146"/>
    </row>
    <row r="32" spans="1:11" ht="20.100000000000001" customHeight="1">
      <c r="A32" s="196" t="s">
        <v>163</v>
      </c>
      <c r="B32" s="665">
        <f>'Input Data'!C60</f>
        <v>0</v>
      </c>
      <c r="C32" s="665"/>
      <c r="D32" s="665">
        <f>B32</f>
        <v>0</v>
      </c>
      <c r="E32" s="666"/>
      <c r="F32" s="197" t="s">
        <v>164</v>
      </c>
      <c r="G32" s="667">
        <f>'Input Data'!C65</f>
        <v>0</v>
      </c>
      <c r="H32" s="667"/>
      <c r="I32" s="667">
        <f>G32</f>
        <v>0</v>
      </c>
      <c r="J32" s="668"/>
      <c r="K32" s="146"/>
    </row>
    <row r="33" spans="1:14" ht="20.100000000000001" customHeight="1">
      <c r="A33" s="198" t="s">
        <v>227</v>
      </c>
      <c r="B33" s="199">
        <f>'Input Data'!C61</f>
        <v>0</v>
      </c>
      <c r="C33" s="200" t="s">
        <v>231</v>
      </c>
      <c r="D33" s="199">
        <f>B33/'Unit Lists'!B5</f>
        <v>0</v>
      </c>
      <c r="E33" s="201" t="s">
        <v>236</v>
      </c>
      <c r="F33" s="202" t="s">
        <v>166</v>
      </c>
      <c r="G33" s="418">
        <f>'Input Data'!C66</f>
        <v>0</v>
      </c>
      <c r="H33" s="203" t="s">
        <v>37</v>
      </c>
      <c r="I33" s="421">
        <f>G33*'Unit Lists'!B9/1.8</f>
        <v>0</v>
      </c>
      <c r="J33" s="204" t="s">
        <v>165</v>
      </c>
      <c r="K33" s="146"/>
    </row>
    <row r="34" spans="1:14" ht="20.100000000000001" customHeight="1">
      <c r="A34" s="198" t="s">
        <v>228</v>
      </c>
      <c r="B34" s="199">
        <f>'Input Data'!C62</f>
        <v>0</v>
      </c>
      <c r="C34" s="200" t="s">
        <v>265</v>
      </c>
      <c r="D34" s="199">
        <f>B34*'Unit Lists'!B9/1.8</f>
        <v>0</v>
      </c>
      <c r="E34" s="201" t="s">
        <v>165</v>
      </c>
      <c r="F34" s="683" t="s">
        <v>244</v>
      </c>
      <c r="G34" s="684"/>
      <c r="H34" s="684"/>
      <c r="I34" s="684"/>
      <c r="J34" s="685"/>
      <c r="K34" s="146"/>
    </row>
    <row r="35" spans="1:14" s="212" customFormat="1" ht="20.100000000000001" customHeight="1" thickBot="1">
      <c r="A35" s="205" t="s">
        <v>229</v>
      </c>
      <c r="B35" s="206">
        <f>'Input Data'!C63</f>
        <v>0</v>
      </c>
      <c r="C35" s="207" t="s">
        <v>264</v>
      </c>
      <c r="D35" s="208">
        <f>B35*'Unit Lists'!B9/'Unit Lists'!B5*1.8</f>
        <v>0</v>
      </c>
      <c r="E35" s="209" t="s">
        <v>271</v>
      </c>
      <c r="F35" s="669"/>
      <c r="G35" s="670"/>
      <c r="H35" s="670"/>
      <c r="I35" s="670"/>
      <c r="J35" s="671"/>
      <c r="L35" s="120"/>
      <c r="M35" s="120"/>
      <c r="N35" s="120"/>
    </row>
    <row r="36" spans="1:14" ht="20.100000000000001" customHeight="1" thickTop="1" thickBot="1">
      <c r="A36" s="210"/>
      <c r="B36" s="119"/>
      <c r="C36" s="118"/>
      <c r="D36" s="119"/>
      <c r="E36" s="118"/>
      <c r="F36" s="211"/>
      <c r="G36" s="211"/>
      <c r="H36" s="211"/>
      <c r="I36" s="211"/>
      <c r="J36" s="118"/>
      <c r="L36" s="119"/>
      <c r="M36" s="120"/>
      <c r="N36" s="120"/>
    </row>
    <row r="37" spans="1:14" ht="20.100000000000001" customHeight="1" thickTop="1" thickBot="1">
      <c r="A37" s="295" t="s">
        <v>241</v>
      </c>
      <c r="B37" s="296"/>
      <c r="C37" s="296"/>
      <c r="D37" s="296"/>
      <c r="E37" s="296"/>
      <c r="F37" s="297"/>
      <c r="G37" s="672" t="s">
        <v>167</v>
      </c>
      <c r="H37" s="672"/>
      <c r="I37" s="672"/>
      <c r="J37" s="673"/>
      <c r="L37" s="120"/>
      <c r="M37" s="120"/>
      <c r="N37" s="120"/>
    </row>
    <row r="38" spans="1:14" ht="20.100000000000001" customHeight="1">
      <c r="A38" s="213" t="s">
        <v>168</v>
      </c>
      <c r="B38" s="709" t="s">
        <v>169</v>
      </c>
      <c r="C38" s="710"/>
      <c r="D38" s="214" t="s">
        <v>170</v>
      </c>
      <c r="E38" s="709" t="s">
        <v>171</v>
      </c>
      <c r="F38" s="711"/>
      <c r="G38" s="712" t="s">
        <v>246</v>
      </c>
      <c r="H38" s="712"/>
      <c r="I38" s="712"/>
      <c r="J38" s="713"/>
      <c r="L38" s="120"/>
      <c r="M38" s="120"/>
      <c r="N38" s="120"/>
    </row>
    <row r="39" spans="1:14" ht="20.100000000000001" customHeight="1">
      <c r="A39" s="215">
        <v>-5</v>
      </c>
      <c r="B39" s="216">
        <f>IF($B$32*(1-$B$33*1.34)-($B$34+($B$35*1.34))*(A39/1000)&lt;0,0,($B$32*(1-$B$33*1.34)-($B$34+($B$35*1.34))*(A39/1000))*1000*$G$50)</f>
        <v>0</v>
      </c>
      <c r="C39" s="217" t="s">
        <v>172</v>
      </c>
      <c r="D39" s="218">
        <f>A39*1.8</f>
        <v>-9</v>
      </c>
      <c r="E39" s="216">
        <f>B39*'Unit Lists'!$B$2</f>
        <v>0</v>
      </c>
      <c r="F39" s="204" t="s">
        <v>173</v>
      </c>
      <c r="G39" s="219"/>
      <c r="H39" s="219"/>
      <c r="I39" s="219"/>
      <c r="J39" s="220"/>
    </row>
    <row r="40" spans="1:14" ht="20.100000000000001" customHeight="1">
      <c r="A40" s="215">
        <v>0</v>
      </c>
      <c r="B40" s="216">
        <f>IF($B$32*(1-$B$33*1.34)-($B$34+($B$35*1.34))*(A40/1000)&lt;0,0,($B$32*(1-$B$33*1.34)-($B$34+($B$35*1.34))*(A40/1000))*1000*$G$50)</f>
        <v>0</v>
      </c>
      <c r="C40" s="217" t="s">
        <v>172</v>
      </c>
      <c r="D40" s="221">
        <f t="shared" ref="D40:D42" si="2">A40*1.8</f>
        <v>0</v>
      </c>
      <c r="E40" s="216">
        <f>B40*'Unit Lists'!$B$2</f>
        <v>0</v>
      </c>
      <c r="F40" s="204" t="s">
        <v>173</v>
      </c>
      <c r="G40" s="219"/>
      <c r="H40" s="219"/>
      <c r="I40" s="219"/>
      <c r="J40" s="220"/>
    </row>
    <row r="41" spans="1:14" ht="20.100000000000001" customHeight="1" thickBot="1">
      <c r="A41" s="215">
        <v>10</v>
      </c>
      <c r="B41" s="216">
        <f>IF($B$32*(1-$B$33*1.34)-($B$34+($B$35*1.34))*(A41/1000)&lt;0,0,($B$32*(1-$B$33*1.34)-($B$34+($B$35*1.34))*(A41/1000))*1000*$G$50)</f>
        <v>0</v>
      </c>
      <c r="C41" s="217" t="s">
        <v>172</v>
      </c>
      <c r="D41" s="221">
        <f t="shared" si="2"/>
        <v>18</v>
      </c>
      <c r="E41" s="216">
        <f>B41*'Unit Lists'!$B$2</f>
        <v>0</v>
      </c>
      <c r="F41" s="204" t="s">
        <v>173</v>
      </c>
      <c r="G41" s="222" t="s">
        <v>266</v>
      </c>
      <c r="H41" s="223"/>
      <c r="I41" s="223"/>
      <c r="J41" s="224"/>
    </row>
    <row r="42" spans="1:14" ht="20.100000000000001" customHeight="1" thickBot="1">
      <c r="A42" s="225">
        <v>20</v>
      </c>
      <c r="B42" s="226">
        <f>IF($B$32*(1-$B$33*1.34)-($B$34+($B$35*1.34))*(A42/1000)&lt;0,0,($B$32*(1-$B$33*1.34)-($B$34+($B$35*1.34))*(A42/1000))*1000*$G$50)</f>
        <v>0</v>
      </c>
      <c r="C42" s="227" t="s">
        <v>172</v>
      </c>
      <c r="D42" s="228">
        <f t="shared" si="2"/>
        <v>36</v>
      </c>
      <c r="E42" s="226">
        <f>B42*'Unit Lists'!$B$2</f>
        <v>0</v>
      </c>
      <c r="F42" s="229" t="s">
        <v>173</v>
      </c>
      <c r="G42" s="714" t="s">
        <v>237</v>
      </c>
      <c r="H42" s="714"/>
      <c r="I42" s="714"/>
      <c r="J42" s="715"/>
    </row>
    <row r="43" spans="1:14" ht="20.100000000000001" customHeight="1" thickTop="1" thickBot="1">
      <c r="A43" s="230" t="s">
        <v>135</v>
      </c>
      <c r="B43" s="231" t="s">
        <v>174</v>
      </c>
      <c r="C43" s="232" t="e">
        <f>'Input Data'!C56</f>
        <v>#DIV/0!</v>
      </c>
      <c r="D43" s="233" t="s">
        <v>15</v>
      </c>
      <c r="E43" s="344" t="e">
        <f>C43*'Unit Lists'!B12</f>
        <v>#DIV/0!</v>
      </c>
      <c r="F43" s="234" t="s">
        <v>16</v>
      </c>
      <c r="G43" s="235" t="e">
        <f>30+1000*(B32/B34)</f>
        <v>#DIV/0!</v>
      </c>
      <c r="H43" s="236" t="s">
        <v>175</v>
      </c>
      <c r="I43" s="237" t="e">
        <f>(G43*1.8)+32</f>
        <v>#DIV/0!</v>
      </c>
      <c r="J43" s="238" t="s">
        <v>176</v>
      </c>
    </row>
    <row r="44" spans="1:14" ht="20.100000000000001" customHeight="1" thickTop="1" thickBot="1">
      <c r="A44" s="239"/>
      <c r="B44" s="239"/>
      <c r="C44" s="240"/>
      <c r="D44" s="241"/>
      <c r="E44" s="241"/>
      <c r="F44" s="241"/>
      <c r="G44" s="242"/>
      <c r="H44" s="161"/>
      <c r="I44" s="185"/>
      <c r="J44" s="185"/>
    </row>
    <row r="45" spans="1:14" ht="20.100000000000001" customHeight="1" thickTop="1">
      <c r="A45" s="716" t="s">
        <v>177</v>
      </c>
      <c r="B45" s="717"/>
      <c r="C45" s="717"/>
      <c r="D45" s="717"/>
      <c r="E45" s="717"/>
      <c r="F45" s="717"/>
      <c r="G45" s="717"/>
      <c r="H45" s="717"/>
      <c r="I45" s="717"/>
      <c r="J45" s="718"/>
      <c r="K45" s="161"/>
    </row>
    <row r="46" spans="1:14" ht="20.100000000000001" customHeight="1">
      <c r="A46" s="719" t="s">
        <v>144</v>
      </c>
      <c r="B46" s="720"/>
      <c r="C46" s="243" t="s">
        <v>178</v>
      </c>
      <c r="D46" s="243">
        <v>10</v>
      </c>
      <c r="E46" s="243">
        <v>20</v>
      </c>
      <c r="F46" s="243">
        <v>30</v>
      </c>
      <c r="G46" s="244">
        <v>40</v>
      </c>
      <c r="H46" s="244">
        <v>50</v>
      </c>
      <c r="I46" s="244">
        <v>60</v>
      </c>
      <c r="J46" s="245">
        <v>70</v>
      </c>
      <c r="K46" s="246"/>
    </row>
    <row r="47" spans="1:14" ht="20.100000000000001" customHeight="1" thickBot="1">
      <c r="A47" s="699" t="s">
        <v>238</v>
      </c>
      <c r="B47" s="700"/>
      <c r="C47" s="423">
        <v>1</v>
      </c>
      <c r="D47" s="423">
        <f>'Input Data'!D70</f>
        <v>0</v>
      </c>
      <c r="E47" s="423">
        <f>'Input Data'!E70</f>
        <v>0</v>
      </c>
      <c r="F47" s="423">
        <f>'Input Data'!F70</f>
        <v>0</v>
      </c>
      <c r="G47" s="423">
        <f>'Input Data'!G70</f>
        <v>0</v>
      </c>
      <c r="H47" s="423">
        <f>'Input Data'!H70</f>
        <v>0</v>
      </c>
      <c r="I47" s="423">
        <f>'Input Data'!I70</f>
        <v>0</v>
      </c>
      <c r="J47" s="424">
        <f>'Input Data'!J70</f>
        <v>0</v>
      </c>
    </row>
    <row r="48" spans="1:14" ht="20.100000000000001" customHeight="1" thickTop="1" thickBot="1">
      <c r="A48" s="247"/>
      <c r="B48" s="247"/>
      <c r="C48" s="247"/>
      <c r="D48" s="247"/>
      <c r="E48" s="247"/>
      <c r="F48" s="247"/>
      <c r="G48" s="211"/>
      <c r="H48" s="211"/>
      <c r="I48" s="211"/>
      <c r="J48" s="211"/>
      <c r="K48" s="172"/>
    </row>
    <row r="49" spans="1:11" ht="20.100000000000001" customHeight="1" thickTop="1" thickBot="1">
      <c r="A49" s="641" t="s">
        <v>112</v>
      </c>
      <c r="B49" s="642"/>
      <c r="C49" s="642"/>
      <c r="D49" s="642"/>
      <c r="E49" s="642"/>
      <c r="F49" s="642"/>
      <c r="G49" s="642"/>
      <c r="H49" s="642"/>
      <c r="I49" s="642"/>
      <c r="J49" s="643"/>
      <c r="K49" s="172"/>
    </row>
    <row r="50" spans="1:11" ht="20.100000000000001" customHeight="1">
      <c r="A50" s="701" t="s">
        <v>123</v>
      </c>
      <c r="B50" s="702"/>
      <c r="C50" s="703">
        <f>'Input Data'!C25</f>
        <v>0</v>
      </c>
      <c r="D50" s="704"/>
      <c r="E50" s="705" t="s">
        <v>117</v>
      </c>
      <c r="F50" s="702"/>
      <c r="G50" s="248">
        <f>'Input Data'!C30</f>
        <v>0</v>
      </c>
      <c r="H50" s="249" t="s">
        <v>118</v>
      </c>
      <c r="I50" s="250">
        <f>IF(ISERROR(G50*'Unit Lists'!$B$8),"na",(G50*'Unit Lists'!$B$8))</f>
        <v>0</v>
      </c>
      <c r="J50" s="251" t="s">
        <v>179</v>
      </c>
      <c r="K50" s="172"/>
    </row>
    <row r="51" spans="1:11" ht="20.100000000000001" customHeight="1">
      <c r="A51" s="477" t="s">
        <v>226</v>
      </c>
      <c r="B51" s="478"/>
      <c r="C51" s="706">
        <f>'Input Data'!C26</f>
        <v>0</v>
      </c>
      <c r="D51" s="707"/>
      <c r="E51" s="708" t="s">
        <v>119</v>
      </c>
      <c r="F51" s="478"/>
      <c r="G51" s="252">
        <f>'Input Data'!C31</f>
        <v>0</v>
      </c>
      <c r="H51" s="253" t="s">
        <v>118</v>
      </c>
      <c r="I51" s="254">
        <f>IF(ISERROR(G51*'Unit Lists'!$B$8),"na",(G51*'Unit Lists'!$B$8))</f>
        <v>0</v>
      </c>
      <c r="J51" s="255" t="s">
        <v>179</v>
      </c>
      <c r="K51" s="172"/>
    </row>
    <row r="52" spans="1:11" ht="20.100000000000001" customHeight="1">
      <c r="A52" s="256"/>
      <c r="B52" s="257" t="s">
        <v>224</v>
      </c>
      <c r="C52" s="706">
        <f>'Input Data'!C27</f>
        <v>0</v>
      </c>
      <c r="D52" s="707"/>
      <c r="E52" s="708" t="s">
        <v>120</v>
      </c>
      <c r="F52" s="478"/>
      <c r="G52" s="252">
        <f>'Input Data'!C32</f>
        <v>0</v>
      </c>
      <c r="H52" s="253" t="s">
        <v>118</v>
      </c>
      <c r="I52" s="254">
        <f>IF(ISERROR(G52*'Unit Lists'!$B$8),"na",(G52*'Unit Lists'!$B$8))</f>
        <v>0</v>
      </c>
      <c r="J52" s="255" t="s">
        <v>179</v>
      </c>
      <c r="K52" s="172"/>
    </row>
    <row r="53" spans="1:11" ht="20.100000000000001" customHeight="1">
      <c r="A53" s="477" t="s">
        <v>115</v>
      </c>
      <c r="B53" s="478"/>
      <c r="C53" s="706">
        <f>'Input Data'!C28</f>
        <v>0</v>
      </c>
      <c r="D53" s="707"/>
      <c r="E53" s="708" t="s">
        <v>10</v>
      </c>
      <c r="F53" s="478"/>
      <c r="G53" s="252">
        <f>'Input Data'!C33</f>
        <v>0</v>
      </c>
      <c r="H53" s="253" t="s">
        <v>11</v>
      </c>
      <c r="I53" s="254">
        <f>IF(ISERROR(G53*'Unit Lists'!$B$5),"na",(G53*'Unit Lists'!$B$5))</f>
        <v>0</v>
      </c>
      <c r="J53" s="255" t="s">
        <v>12</v>
      </c>
      <c r="K53" s="172"/>
    </row>
    <row r="54" spans="1:11" ht="20.100000000000001" customHeight="1">
      <c r="A54" s="477" t="s">
        <v>116</v>
      </c>
      <c r="B54" s="478"/>
      <c r="C54" s="706">
        <f>'Input Data'!C29</f>
        <v>0</v>
      </c>
      <c r="D54" s="707"/>
      <c r="E54" s="708" t="s">
        <v>13</v>
      </c>
      <c r="F54" s="478"/>
      <c r="G54" s="252">
        <f>'Input Data'!C34</f>
        <v>0</v>
      </c>
      <c r="H54" s="253" t="s">
        <v>11</v>
      </c>
      <c r="I54" s="254">
        <f>IF(ISERROR(G54*'Unit Lists'!$B$5),"na",(G54*'Unit Lists'!$B$5))</f>
        <v>0</v>
      </c>
      <c r="J54" s="255" t="s">
        <v>12</v>
      </c>
      <c r="K54" s="172"/>
    </row>
    <row r="55" spans="1:11" ht="20.100000000000001" customHeight="1">
      <c r="A55" s="725"/>
      <c r="B55" s="726"/>
      <c r="C55" s="706"/>
      <c r="D55" s="707"/>
      <c r="E55" s="708" t="s">
        <v>14</v>
      </c>
      <c r="F55" s="478"/>
      <c r="G55" s="252">
        <f>'Input Data'!C35</f>
        <v>0</v>
      </c>
      <c r="H55" s="253" t="s">
        <v>11</v>
      </c>
      <c r="I55" s="254">
        <f>IF(ISERROR(G55*'Unit Lists'!$B$5),"na",(G55*'Unit Lists'!$B$5))</f>
        <v>0</v>
      </c>
      <c r="J55" s="255" t="s">
        <v>12</v>
      </c>
      <c r="K55" s="172"/>
    </row>
    <row r="56" spans="1:11" ht="20.100000000000001" customHeight="1" thickBot="1">
      <c r="A56" s="727"/>
      <c r="B56" s="728"/>
      <c r="C56" s="721"/>
      <c r="D56" s="722"/>
      <c r="E56" s="723" t="s">
        <v>121</v>
      </c>
      <c r="F56" s="724"/>
      <c r="G56" s="258">
        <f>'Input Data'!C36</f>
        <v>0</v>
      </c>
      <c r="H56" s="259" t="s">
        <v>17</v>
      </c>
      <c r="I56" s="258">
        <f>IF(ISERROR(G56*'Unit Lists'!$B$14),"na",(G56*'Unit Lists'!$B$14))</f>
        <v>0</v>
      </c>
      <c r="J56" s="260" t="s">
        <v>180</v>
      </c>
      <c r="K56" s="172"/>
    </row>
    <row r="57" spans="1:11" ht="20.100000000000001" customHeight="1">
      <c r="A57" s="729" t="s">
        <v>122</v>
      </c>
      <c r="B57" s="730"/>
      <c r="C57" s="730"/>
      <c r="D57" s="730"/>
      <c r="E57" s="730"/>
      <c r="F57" s="730"/>
      <c r="G57" s="730"/>
      <c r="H57" s="730"/>
      <c r="I57" s="730"/>
      <c r="J57" s="731"/>
      <c r="K57" s="147"/>
    </row>
    <row r="58" spans="1:11" ht="20.100000000000001" customHeight="1">
      <c r="A58" s="477" t="s">
        <v>123</v>
      </c>
      <c r="B58" s="478"/>
      <c r="C58" s="706">
        <f>'Input Data'!C39</f>
        <v>0</v>
      </c>
      <c r="D58" s="707"/>
      <c r="E58" s="708" t="s">
        <v>181</v>
      </c>
      <c r="F58" s="478"/>
      <c r="G58" s="261">
        <f>'Input Data'!C46</f>
        <v>0</v>
      </c>
      <c r="H58" s="262" t="s">
        <v>18</v>
      </c>
      <c r="I58" s="263">
        <f>IF(ISERROR(G58*'Unit Lists'!$B$6),"na",(G58*'Unit Lists'!$B$6))</f>
        <v>0</v>
      </c>
      <c r="J58" s="264" t="s">
        <v>19</v>
      </c>
      <c r="K58" s="147"/>
    </row>
    <row r="59" spans="1:11" ht="20.100000000000001" customHeight="1">
      <c r="A59" s="477" t="s">
        <v>124</v>
      </c>
      <c r="B59" s="478"/>
      <c r="C59" s="706">
        <f>'Input Data'!C40</f>
        <v>0</v>
      </c>
      <c r="D59" s="707"/>
      <c r="E59" s="708" t="s">
        <v>182</v>
      </c>
      <c r="F59" s="478"/>
      <c r="G59" s="261">
        <f>'Input Data'!C47</f>
        <v>0</v>
      </c>
      <c r="H59" s="262" t="s">
        <v>18</v>
      </c>
      <c r="I59" s="263">
        <f>IF(ISERROR(G59*'Unit Lists'!$B$6),"na",(G59*'Unit Lists'!$B$6))</f>
        <v>0</v>
      </c>
      <c r="J59" s="264" t="s">
        <v>19</v>
      </c>
      <c r="K59" s="147"/>
    </row>
    <row r="60" spans="1:11" ht="20.100000000000001" customHeight="1">
      <c r="A60" s="477" t="s">
        <v>125</v>
      </c>
      <c r="B60" s="478"/>
      <c r="C60" s="706">
        <f>'Input Data'!C41</f>
        <v>0</v>
      </c>
      <c r="D60" s="707"/>
      <c r="E60" s="708" t="s">
        <v>183</v>
      </c>
      <c r="F60" s="478"/>
      <c r="G60" s="261">
        <f>'Input Data'!C48</f>
        <v>0</v>
      </c>
      <c r="H60" s="262" t="s">
        <v>18</v>
      </c>
      <c r="I60" s="263">
        <f>IF(ISERROR(G60*'Unit Lists'!$B$6),"na",(G60*'Unit Lists'!$B$6))</f>
        <v>0</v>
      </c>
      <c r="J60" s="264" t="s">
        <v>19</v>
      </c>
      <c r="K60" s="147"/>
    </row>
    <row r="61" spans="1:11" ht="20.100000000000001" customHeight="1">
      <c r="A61" s="477" t="s">
        <v>126</v>
      </c>
      <c r="B61" s="478"/>
      <c r="C61" s="706">
        <f>'Input Data'!C42</f>
        <v>0</v>
      </c>
      <c r="D61" s="707"/>
      <c r="E61" s="708" t="s">
        <v>184</v>
      </c>
      <c r="F61" s="478"/>
      <c r="G61" s="261">
        <f>'Input Data'!C49</f>
        <v>0</v>
      </c>
      <c r="H61" s="262" t="s">
        <v>18</v>
      </c>
      <c r="I61" s="263">
        <f>IF(ISERROR(G61*'Unit Lists'!$B$6),"na",(G61*'Unit Lists'!$B$6))</f>
        <v>0</v>
      </c>
      <c r="J61" s="264" t="s">
        <v>19</v>
      </c>
      <c r="K61" s="147"/>
    </row>
    <row r="62" spans="1:11" ht="20.100000000000001" customHeight="1">
      <c r="A62" s="477" t="s">
        <v>127</v>
      </c>
      <c r="B62" s="478"/>
      <c r="C62" s="706">
        <f>'Input Data'!C43</f>
        <v>0</v>
      </c>
      <c r="D62" s="707"/>
      <c r="E62" s="708" t="s">
        <v>185</v>
      </c>
      <c r="F62" s="478"/>
      <c r="G62" s="261">
        <f>'Input Data'!C50</f>
        <v>0</v>
      </c>
      <c r="H62" s="262" t="s">
        <v>18</v>
      </c>
      <c r="I62" s="263">
        <f>IF(ISERROR(G62*'Unit Lists'!$B$6),"na",(G62*'Unit Lists'!$B$6))</f>
        <v>0</v>
      </c>
      <c r="J62" s="264" t="s">
        <v>19</v>
      </c>
      <c r="K62" s="172"/>
    </row>
    <row r="63" spans="1:11" ht="20.100000000000001" customHeight="1">
      <c r="A63" s="477" t="s">
        <v>128</v>
      </c>
      <c r="B63" s="478"/>
      <c r="C63" s="706">
        <f>'Input Data'!C44</f>
        <v>0</v>
      </c>
      <c r="D63" s="707"/>
      <c r="E63" s="708" t="s">
        <v>279</v>
      </c>
      <c r="F63" s="478"/>
      <c r="G63" s="261">
        <f>'Input Data'!C51</f>
        <v>0</v>
      </c>
      <c r="H63" s="262" t="s">
        <v>18</v>
      </c>
      <c r="I63" s="265">
        <f>IF(ISERROR(G63*'Unit Lists'!$B$6),"na",(G63*'Unit Lists'!$B$6))</f>
        <v>0</v>
      </c>
      <c r="J63" s="264" t="s">
        <v>19</v>
      </c>
      <c r="K63" s="172"/>
    </row>
    <row r="64" spans="1:11" ht="20.100000000000001" customHeight="1" thickBot="1">
      <c r="A64" s="506" t="s">
        <v>129</v>
      </c>
      <c r="B64" s="507"/>
      <c r="C64" s="732">
        <f>'Input Data'!C45</f>
        <v>0</v>
      </c>
      <c r="D64" s="733"/>
      <c r="E64" s="734"/>
      <c r="F64" s="669"/>
      <c r="G64" s="293"/>
      <c r="H64" s="267"/>
      <c r="I64" s="266"/>
      <c r="J64" s="268"/>
      <c r="K64" s="172"/>
    </row>
    <row r="65" spans="1:11" ht="20.100000000000001" customHeight="1" thickTop="1" thickBot="1">
      <c r="A65" s="241"/>
      <c r="B65" s="241"/>
      <c r="C65" s="147"/>
      <c r="D65" s="147"/>
      <c r="E65" s="147"/>
      <c r="F65" s="147"/>
      <c r="G65" s="147"/>
      <c r="H65" s="147"/>
      <c r="I65" s="147"/>
      <c r="J65" s="147"/>
      <c r="K65" s="172"/>
    </row>
    <row r="66" spans="1:11" ht="20.100000000000001" customHeight="1" thickTop="1">
      <c r="A66" s="641" t="s">
        <v>186</v>
      </c>
      <c r="B66" s="642"/>
      <c r="C66" s="642"/>
      <c r="D66" s="642"/>
      <c r="E66" s="642"/>
      <c r="F66" s="642"/>
      <c r="G66" s="642"/>
      <c r="H66" s="642"/>
      <c r="I66" s="642"/>
      <c r="J66" s="643"/>
      <c r="K66" s="172"/>
    </row>
    <row r="67" spans="1:11" ht="20.100000000000001" customHeight="1">
      <c r="A67" s="477" t="s">
        <v>94</v>
      </c>
      <c r="B67" s="478"/>
      <c r="C67" s="735">
        <f>'Input Data'!C7</f>
        <v>0</v>
      </c>
      <c r="D67" s="736"/>
      <c r="E67" s="708" t="s">
        <v>187</v>
      </c>
      <c r="F67" s="478"/>
      <c r="G67" s="706">
        <f>'Input Data'!C13</f>
        <v>0</v>
      </c>
      <c r="H67" s="737"/>
      <c r="I67" s="737"/>
      <c r="J67" s="738"/>
      <c r="K67" s="172"/>
    </row>
    <row r="68" spans="1:11" ht="20.100000000000001" customHeight="1">
      <c r="A68" s="740" t="s">
        <v>188</v>
      </c>
      <c r="B68" s="741"/>
      <c r="C68" s="269">
        <f>'Input Data'!C8</f>
        <v>0</v>
      </c>
      <c r="D68" s="270"/>
      <c r="E68" s="521" t="s">
        <v>103</v>
      </c>
      <c r="F68" s="746"/>
      <c r="G68" s="706">
        <f>'Input Data'!C16</f>
        <v>0</v>
      </c>
      <c r="H68" s="737"/>
      <c r="I68" s="737"/>
      <c r="J68" s="738"/>
      <c r="K68" s="172"/>
    </row>
    <row r="69" spans="1:11" ht="20.100000000000001" customHeight="1">
      <c r="A69" s="742"/>
      <c r="B69" s="743"/>
      <c r="C69" s="271">
        <f>'Input Data'!C9</f>
        <v>0</v>
      </c>
      <c r="D69" s="272"/>
      <c r="E69" s="708" t="s">
        <v>267</v>
      </c>
      <c r="F69" s="478"/>
      <c r="G69" s="273" t="e">
        <f>'Input Data'!C17/'Input Data'!C30</f>
        <v>#DIV/0!</v>
      </c>
      <c r="H69" s="253" t="s">
        <v>269</v>
      </c>
      <c r="I69" s="425" t="e">
        <f>G69*'Unit Lists'!B14*60*60/'Unit Lists'!B8</f>
        <v>#DIV/0!</v>
      </c>
      <c r="J69" s="255" t="s">
        <v>268</v>
      </c>
      <c r="K69" s="172"/>
    </row>
    <row r="70" spans="1:11" ht="20.100000000000001" customHeight="1">
      <c r="A70" s="744"/>
      <c r="B70" s="745"/>
      <c r="C70" s="275">
        <f>'Input Data'!C10</f>
        <v>0</v>
      </c>
      <c r="D70" s="276"/>
      <c r="E70" s="708" t="s">
        <v>107</v>
      </c>
      <c r="F70" s="478"/>
      <c r="G70" s="274">
        <f>'Input Data'!C18</f>
        <v>0</v>
      </c>
      <c r="H70" s="253" t="s">
        <v>108</v>
      </c>
      <c r="I70" s="274">
        <f>G70*'Unit Lists'!B9</f>
        <v>0</v>
      </c>
      <c r="J70" s="255" t="s">
        <v>270</v>
      </c>
      <c r="K70" s="172"/>
    </row>
    <row r="71" spans="1:11" ht="20.100000000000001" customHeight="1">
      <c r="A71" s="477" t="s">
        <v>97</v>
      </c>
      <c r="B71" s="478"/>
      <c r="C71" s="431">
        <f>'Input Data'!C11</f>
        <v>0</v>
      </c>
      <c r="D71" s="277"/>
      <c r="E71" s="708" t="s">
        <v>110</v>
      </c>
      <c r="F71" s="478"/>
      <c r="G71" s="274">
        <f>'Input Data'!C19</f>
        <v>0</v>
      </c>
      <c r="H71" s="253" t="s">
        <v>42</v>
      </c>
      <c r="I71" s="263">
        <f>IF(ISERROR(G71*'Unit Lists'!$B$5),"",(G71*'Unit Lists'!$B$5))</f>
        <v>0</v>
      </c>
      <c r="J71" s="255" t="s">
        <v>189</v>
      </c>
      <c r="K71" s="172"/>
    </row>
    <row r="72" spans="1:11" ht="20.100000000000001" customHeight="1" thickBot="1">
      <c r="A72" s="506" t="s">
        <v>98</v>
      </c>
      <c r="B72" s="507"/>
      <c r="C72" s="278">
        <f>'Input Data'!C12</f>
        <v>0</v>
      </c>
      <c r="D72" s="279"/>
      <c r="E72" s="739" t="s">
        <v>111</v>
      </c>
      <c r="F72" s="507"/>
      <c r="G72" s="280">
        <f>'Input Data'!C20</f>
        <v>0</v>
      </c>
      <c r="H72" s="281" t="s">
        <v>15</v>
      </c>
      <c r="I72" s="282">
        <f>G72*'Unit Lists'!B12</f>
        <v>0</v>
      </c>
      <c r="J72" s="283" t="s">
        <v>16</v>
      </c>
      <c r="K72" s="172"/>
    </row>
    <row r="73" spans="1:11" ht="20.100000000000001" customHeight="1" thickTop="1">
      <c r="A73" s="241"/>
      <c r="B73" s="241"/>
      <c r="C73" s="147"/>
      <c r="D73" s="147"/>
      <c r="E73" s="147"/>
      <c r="F73" s="147"/>
      <c r="G73" s="147"/>
      <c r="H73" s="147"/>
      <c r="I73" s="147"/>
      <c r="J73" s="147"/>
    </row>
    <row r="74" spans="1:11" ht="20.100000000000001" customHeight="1">
      <c r="A74" s="241"/>
      <c r="B74" s="241"/>
      <c r="C74" s="241"/>
      <c r="D74" s="241"/>
      <c r="E74" s="241"/>
      <c r="F74" s="241"/>
      <c r="G74" s="185"/>
      <c r="H74" s="185"/>
      <c r="I74" s="185"/>
      <c r="J74" s="185"/>
    </row>
    <row r="75" spans="1:11" ht="20.100000000000001" customHeight="1">
      <c r="A75" s="241"/>
      <c r="B75" s="241"/>
      <c r="C75" s="241"/>
      <c r="D75" s="241"/>
      <c r="E75" s="241"/>
      <c r="F75" s="241"/>
      <c r="G75" s="185"/>
      <c r="H75" s="185"/>
      <c r="I75" s="185"/>
      <c r="J75" s="185"/>
    </row>
    <row r="76" spans="1:11" ht="20.100000000000001" customHeight="1">
      <c r="A76" s="241"/>
      <c r="B76" s="241"/>
      <c r="C76" s="241"/>
      <c r="D76" s="241"/>
      <c r="E76" s="241"/>
      <c r="F76" s="241"/>
      <c r="G76" s="185"/>
      <c r="H76" s="185"/>
      <c r="I76" s="185"/>
      <c r="J76" s="185"/>
    </row>
    <row r="77" spans="1:11" ht="20.100000000000001" customHeight="1">
      <c r="A77" s="241"/>
      <c r="B77" s="241"/>
      <c r="C77" s="241"/>
      <c r="D77" s="241"/>
      <c r="E77" s="241"/>
      <c r="F77" s="241"/>
      <c r="G77" s="185"/>
      <c r="H77" s="185"/>
      <c r="I77" s="185"/>
      <c r="J77" s="185"/>
    </row>
    <row r="78" spans="1:11" ht="20.100000000000001" customHeight="1">
      <c r="A78" s="241"/>
      <c r="B78" s="241"/>
      <c r="C78" s="241"/>
      <c r="D78" s="241"/>
      <c r="E78" s="241"/>
      <c r="F78" s="241"/>
      <c r="G78" s="185"/>
      <c r="H78" s="185"/>
      <c r="I78" s="185"/>
      <c r="J78" s="185"/>
    </row>
    <row r="79" spans="1:11" ht="20.100000000000001" customHeight="1">
      <c r="A79" s="241"/>
      <c r="B79" s="241"/>
      <c r="C79" s="241"/>
      <c r="D79" s="241"/>
      <c r="E79" s="241"/>
      <c r="F79" s="241"/>
      <c r="G79" s="185"/>
      <c r="H79" s="185"/>
      <c r="I79" s="185"/>
      <c r="J79" s="185"/>
    </row>
    <row r="80" spans="1:11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</sheetData>
  <mergeCells count="111">
    <mergeCell ref="A66:J66"/>
    <mergeCell ref="A67:B67"/>
    <mergeCell ref="C67:D67"/>
    <mergeCell ref="E67:F67"/>
    <mergeCell ref="G67:J67"/>
    <mergeCell ref="A72:B72"/>
    <mergeCell ref="E72:F72"/>
    <mergeCell ref="A68:B70"/>
    <mergeCell ref="E68:F68"/>
    <mergeCell ref="G68:J68"/>
    <mergeCell ref="E69:F69"/>
    <mergeCell ref="E70:F70"/>
    <mergeCell ref="A71:B71"/>
    <mergeCell ref="E71:F71"/>
    <mergeCell ref="A64:B64"/>
    <mergeCell ref="C64:D64"/>
    <mergeCell ref="E64:F64"/>
    <mergeCell ref="A62:B62"/>
    <mergeCell ref="C62:D62"/>
    <mergeCell ref="E62:F62"/>
    <mergeCell ref="A63:B63"/>
    <mergeCell ref="C63:D63"/>
    <mergeCell ref="E63:F63"/>
    <mergeCell ref="A60:B60"/>
    <mergeCell ref="C60:D60"/>
    <mergeCell ref="E60:F60"/>
    <mergeCell ref="A61:B61"/>
    <mergeCell ref="C61:D61"/>
    <mergeCell ref="E61:F61"/>
    <mergeCell ref="A57:J57"/>
    <mergeCell ref="A58:B58"/>
    <mergeCell ref="C58:D58"/>
    <mergeCell ref="E58:F58"/>
    <mergeCell ref="A59:B59"/>
    <mergeCell ref="C59:D59"/>
    <mergeCell ref="E59:F59"/>
    <mergeCell ref="A53:B53"/>
    <mergeCell ref="C55:D55"/>
    <mergeCell ref="E55:F55"/>
    <mergeCell ref="A54:B54"/>
    <mergeCell ref="C56:D56"/>
    <mergeCell ref="E56:F56"/>
    <mergeCell ref="C52:D52"/>
    <mergeCell ref="E52:F52"/>
    <mergeCell ref="C53:D53"/>
    <mergeCell ref="E53:F53"/>
    <mergeCell ref="C54:D54"/>
    <mergeCell ref="E54:F54"/>
    <mergeCell ref="A55:B55"/>
    <mergeCell ref="A56:B56"/>
    <mergeCell ref="A47:B47"/>
    <mergeCell ref="A49:J49"/>
    <mergeCell ref="A50:B50"/>
    <mergeCell ref="C50:D50"/>
    <mergeCell ref="E50:F50"/>
    <mergeCell ref="A51:B51"/>
    <mergeCell ref="C51:D51"/>
    <mergeCell ref="E51:F51"/>
    <mergeCell ref="B38:C38"/>
    <mergeCell ref="E38:F38"/>
    <mergeCell ref="G38:J38"/>
    <mergeCell ref="G42:J42"/>
    <mergeCell ref="A45:J45"/>
    <mergeCell ref="A46:B46"/>
    <mergeCell ref="F10:F11"/>
    <mergeCell ref="H10:H11"/>
    <mergeCell ref="H20:H21"/>
    <mergeCell ref="B32:C32"/>
    <mergeCell ref="D32:E32"/>
    <mergeCell ref="G32:H32"/>
    <mergeCell ref="I32:J32"/>
    <mergeCell ref="F35:J35"/>
    <mergeCell ref="G37:J37"/>
    <mergeCell ref="J20:J21"/>
    <mergeCell ref="A23:B23"/>
    <mergeCell ref="A27:J27"/>
    <mergeCell ref="A29:J29"/>
    <mergeCell ref="A30:A31"/>
    <mergeCell ref="F30:F31"/>
    <mergeCell ref="F34:J34"/>
    <mergeCell ref="A19:B22"/>
    <mergeCell ref="C19:C20"/>
    <mergeCell ref="D19:F19"/>
    <mergeCell ref="G19:G20"/>
    <mergeCell ref="H19:J19"/>
    <mergeCell ref="D20:D21"/>
    <mergeCell ref="F20:F21"/>
    <mergeCell ref="A1:J1"/>
    <mergeCell ref="A3:C3"/>
    <mergeCell ref="D3:F3"/>
    <mergeCell ref="A4:C4"/>
    <mergeCell ref="D4:F4"/>
    <mergeCell ref="A5:C5"/>
    <mergeCell ref="D5:F5"/>
    <mergeCell ref="A17:J17"/>
    <mergeCell ref="A18:J18"/>
    <mergeCell ref="A2:C2"/>
    <mergeCell ref="D2:F2"/>
    <mergeCell ref="J10:J11"/>
    <mergeCell ref="A13:B13"/>
    <mergeCell ref="A14:B14"/>
    <mergeCell ref="A15:B15"/>
    <mergeCell ref="A16:B16"/>
    <mergeCell ref="A7:J7"/>
    <mergeCell ref="A8:J8"/>
    <mergeCell ref="A9:B12"/>
    <mergeCell ref="C9:C10"/>
    <mergeCell ref="D9:F9"/>
    <mergeCell ref="G9:G10"/>
    <mergeCell ref="H9:J9"/>
    <mergeCell ref="D10:D11"/>
  </mergeCells>
  <pageMargins left="0.7" right="0.7" top="0.75" bottom="0.75" header="0.3" footer="0.3"/>
  <pageSetup scale="50" fitToHeight="2" orientation="portrait" r:id="rId1"/>
  <rowBreaks count="2" manualBreakCount="2">
    <brk id="42" max="16383" man="1"/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Input Data</vt:lpstr>
      <vt:lpstr>Unit Lists</vt:lpstr>
      <vt:lpstr>Irradiance (SI)</vt:lpstr>
      <vt:lpstr>IAM, (Numerical)</vt:lpstr>
      <vt:lpstr>Diffuse Modifier (Numerical)</vt:lpstr>
      <vt:lpstr>Calculator (SI)</vt:lpstr>
      <vt:lpstr>Certification (Tested)</vt:lpstr>
      <vt:lpstr>TestStandard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2014-05-15T19:56:34Z</dcterms:created>
  <dcterms:modified xsi:type="dcterms:W3CDTF">2015-07-21T22:10:30Z</dcterms:modified>
</cp:coreProperties>
</file>